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autoCompressPictures="0" defaultThemeVersion="124226"/>
  <mc:AlternateContent xmlns:mc="http://schemas.openxmlformats.org/markup-compatibility/2006">
    <mc:Choice Requires="x15">
      <x15ac:absPath xmlns:x15ac="http://schemas.microsoft.com/office/spreadsheetml/2010/11/ac" url="P:\2018.104 EZK - Vormgeven BuCa Digitale Connectiviteit\8. Rekenmodel\"/>
    </mc:Choice>
  </mc:AlternateContent>
  <xr:revisionPtr revIDLastSave="0" documentId="13_ncr:1_{21415391-CBF8-4482-94B1-81F33D284A88}" xr6:coauthVersionLast="40" xr6:coauthVersionMax="40" xr10:uidLastSave="{00000000-0000-0000-0000-000000000000}"/>
  <bookViews>
    <workbookView xWindow="-120" yWindow="-120" windowWidth="29040" windowHeight="15840" tabRatio="645" xr2:uid="{00000000-000D-0000-FFFF-FFFF00000000}"/>
  </bookViews>
  <sheets>
    <sheet name="Toelichting" sheetId="12" r:id="rId1"/>
    <sheet name="Parameters" sheetId="1" r:id="rId2"/>
    <sheet name="Kasstromenoverzicht" sheetId="3" r:id="rId3"/>
    <sheet name="Balans" sheetId="5" r:id="rId4"/>
    <sheet name="Winst-en-verliesrekening" sheetId="4" r:id="rId5"/>
    <sheet name="Financiering" sheetId="6" r:id="rId6"/>
    <sheet name="Penetratiegraad" sheetId="10" r:id="rId7"/>
    <sheet name="Afschrijvingen" sheetId="11" r:id="rId8"/>
    <sheet name="Vennnootschapsbelasting" sheetId="15" r:id="rId9"/>
  </sheets>
  <definedNames>
    <definedName name="anders_op_0">Parameters!$B$82</definedName>
    <definedName name="anders_op_1">Parameters!$B$83</definedName>
    <definedName name="anders_op_10">Parameters!$B$92</definedName>
    <definedName name="anders_op_11">Parameters!$B$93</definedName>
    <definedName name="anders_op_12">Parameters!$B$94</definedName>
    <definedName name="anders_op_13">Parameters!$B$95</definedName>
    <definedName name="anders_op_14">Parameters!$B$96</definedName>
    <definedName name="anders_op_15">Parameters!$B$97</definedName>
    <definedName name="anders_op_16">Parameters!$B$98</definedName>
    <definedName name="anders_op_17">Parameters!$B$99</definedName>
    <definedName name="anders_op_18">Parameters!$B$100</definedName>
    <definedName name="anders_op_19">Parameters!$B$101</definedName>
    <definedName name="anders_op_2">Parameters!$B$84</definedName>
    <definedName name="anders_op_20">Parameters!$B$102</definedName>
    <definedName name="anders_op_21">Parameters!$B$103</definedName>
    <definedName name="anders_op_22">Parameters!$B$104</definedName>
    <definedName name="anders_op_23">Parameters!$B$105</definedName>
    <definedName name="anders_op_24">Parameters!$B$106</definedName>
    <definedName name="anders_op_25">Parameters!$B$107</definedName>
    <definedName name="anders_op_3">Parameters!$B$85</definedName>
    <definedName name="anders_op_4">Parameters!$B$86</definedName>
    <definedName name="anders_op_5">Parameters!$B$87</definedName>
    <definedName name="anders_op_6">Parameters!$B$88</definedName>
    <definedName name="anders_op_7">Parameters!$B$89</definedName>
    <definedName name="anders_op_8">Parameters!$B$90</definedName>
    <definedName name="anders_op_9">Parameters!$B$91</definedName>
    <definedName name="eigen_vermogen">Parameters!$B$40</definedName>
    <definedName name="fin_vv_aanvang_1">Parameters!$B$43</definedName>
    <definedName name="fin_vv_aanvang_2">Parameters!$B$48</definedName>
    <definedName name="fin_vv_aanvang_3">Parameters!$B$53</definedName>
    <definedName name="fin_vv_aanvang_4">Parameters!$B$58</definedName>
    <definedName name="fin_vv_aanvang_5">Parameters!$B$63</definedName>
    <definedName name="fin_vv_aanvang_6">Parameters!$B$67</definedName>
    <definedName name="fin_vv_aflossingsvrij_1">Parameters!$B$44</definedName>
    <definedName name="fin_vv_aflossingsvrij_2">Parameters!$B$49</definedName>
    <definedName name="fin_vv_aflossingsvrij_3">Parameters!$B$54</definedName>
    <definedName name="fin_vv_aflossingsvrij_4">Parameters!$B$59</definedName>
    <definedName name="fin_vv_omvang_1">Parameters!$B$41</definedName>
    <definedName name="fin_vv_omvang_2">Parameters!$B$46</definedName>
    <definedName name="fin_vv_omvang_3">Parameters!$B$51</definedName>
    <definedName name="fin_vv_omvang_4">Parameters!$B$56</definedName>
    <definedName name="fin_vv_omvang_5">Parameters!$B$61</definedName>
    <definedName name="fin_vv_omvang_6">Parameters!$B$65</definedName>
    <definedName name="fin_vv_rente_1">Parameters!$B$42</definedName>
    <definedName name="fin_vv_rente_2">Parameters!$B$47</definedName>
    <definedName name="fin_vv_rente_3">Parameters!$B$52</definedName>
    <definedName name="fin_vv_rente_4">Parameters!$B$57</definedName>
    <definedName name="fin_vv_rente_5">Parameters!$B$62</definedName>
    <definedName name="fin_vv_rente_6">Parameters!$B$66</definedName>
    <definedName name="fin_vv_termijn_1">Parameters!$B$45</definedName>
    <definedName name="fin_vv_termijn_2">Parameters!$B$50</definedName>
    <definedName name="fin_vv_termijn_3">Parameters!$B$55</definedName>
    <definedName name="fin_vv_termijn_4">Parameters!$B$60</definedName>
    <definedName name="fin_vv_termijn_5">Parameters!$B$64</definedName>
    <definedName name="fin_vv_termijn_6">Parameters!$B$68</definedName>
    <definedName name="gen_afs_termijn">Parameters!$B$72</definedName>
    <definedName name="gen_btw">Parameters!$B$71</definedName>
    <definedName name="gen_car_bck">Parameters!$B$78</definedName>
    <definedName name="gen_car_for">Parameters!$B$77</definedName>
    <definedName name="gen_deprente">Parameters!$B$79</definedName>
    <definedName name="gen_dv_ncw">Parameters!#REF!</definedName>
    <definedName name="gen_laag2">Parameters!#REF!</definedName>
    <definedName name="gen_laag3">Parameters!#REF!</definedName>
    <definedName name="gen_liq">Parameters!#REF!</definedName>
    <definedName name="gen_uitsp_termijn">Parameters!$B$73</definedName>
    <definedName name="gen_ven_bel">Parameters!#REF!</definedName>
    <definedName name="gen_ven_bel_drempel">Parameters!$B$76</definedName>
    <definedName name="gen_ven_bel_hoog">Parameters!$B$75</definedName>
    <definedName name="gen_ven_bel_laag">Parameters!$B$74</definedName>
    <definedName name="ink_na_duur">Parameters!$B$34</definedName>
    <definedName name="ink_na_eenmalig">Parameters!$B$31</definedName>
    <definedName name="ink_na_interesse_eenmalig">Parameters!$B$35</definedName>
    <definedName name="ink_na_interesse_maand">Parameters!$B$36</definedName>
    <definedName name="ink_na_maand">Parameters!$B$32</definedName>
    <definedName name="ink_na_maand_index">Parameters!$B$33</definedName>
    <definedName name="ink_passief">Parameters!$B$23</definedName>
    <definedName name="ink_passief_index">Parameters!$B$24</definedName>
    <definedName name="ink_start_duur">Parameters!$B$28</definedName>
    <definedName name="ink_start_eenmalig">Parameters!$B$25</definedName>
    <definedName name="ink_start_interesse_eenmalig">Parameters!$B$29</definedName>
    <definedName name="ink_start_interesse_maand">Parameters!$B$30</definedName>
    <definedName name="ink_start_maand">Parameters!$B$26</definedName>
    <definedName name="ink_start_maand_index">Parameters!$B$27</definedName>
    <definedName name="kost_laag1">Parameters!$B$17</definedName>
    <definedName name="kost_laag1_index">Parameters!$B$18</definedName>
    <definedName name="kost_netwerk">Parameters!$B$13</definedName>
    <definedName name="kost_onv_sch">Parameters!$B$19</definedName>
    <definedName name="kost_onv_sch_index">Parameters!$B$20</definedName>
    <definedName name="kost_org">Parameters!$B$15</definedName>
    <definedName name="kost_org_index">Parameters!$B$16</definedName>
    <definedName name="kost_proces">Parameters!$B$14</definedName>
    <definedName name="pen_aantal">Parameters!$B$7</definedName>
    <definedName name="pen_aanvang">Parameters!$B$8</definedName>
    <definedName name="pen_groei">Parameters!$B$10</definedName>
    <definedName name="pen_max">Parameters!$B$9</definedName>
    <definedName name="rendement">Parameters!#REF!</definedName>
    <definedName name="subsidie">Parameters!$B$39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5" i="1" l="1"/>
  <c r="H32" i="1" l="1"/>
  <c r="H26" i="1"/>
  <c r="H36" i="1"/>
  <c r="B13" i="4" l="1"/>
  <c r="G26" i="1"/>
  <c r="G36" i="1"/>
  <c r="I36" i="1"/>
  <c r="J36" i="1"/>
  <c r="K36" i="1"/>
  <c r="K30" i="1"/>
  <c r="J30" i="1"/>
  <c r="I30" i="1"/>
  <c r="H30" i="1"/>
  <c r="G31" i="1" l="1"/>
  <c r="G32" i="1"/>
  <c r="G30" i="1"/>
  <c r="F20" i="1" l="1"/>
  <c r="B20" i="1" s="1"/>
  <c r="F19" i="1"/>
  <c r="B19" i="1" s="1"/>
  <c r="F59" i="1"/>
  <c r="B59" i="1" s="1"/>
  <c r="F54" i="1"/>
  <c r="B54" i="1" s="1"/>
  <c r="F49" i="1"/>
  <c r="B49" i="1" s="1"/>
  <c r="F44" i="1"/>
  <c r="B44" i="1" s="1"/>
  <c r="F35" i="1"/>
  <c r="B35" i="1" s="1"/>
  <c r="F30" i="1"/>
  <c r="B30" i="1" s="1"/>
  <c r="F39" i="1"/>
  <c r="B39" i="1" l="1"/>
  <c r="B22" i="3" s="1"/>
  <c r="D11" i="3"/>
  <c r="D13" i="4" s="1"/>
  <c r="AA11" i="3"/>
  <c r="AA13" i="4" s="1"/>
  <c r="W11" i="3"/>
  <c r="W13" i="4" s="1"/>
  <c r="S11" i="3"/>
  <c r="S13" i="4" s="1"/>
  <c r="O11" i="3"/>
  <c r="O13" i="4" s="1"/>
  <c r="K11" i="3"/>
  <c r="K13" i="4" s="1"/>
  <c r="G11" i="3"/>
  <c r="G13" i="4" s="1"/>
  <c r="Z11" i="3"/>
  <c r="Z13" i="4" s="1"/>
  <c r="V11" i="3"/>
  <c r="V13" i="4" s="1"/>
  <c r="R11" i="3"/>
  <c r="R13" i="4" s="1"/>
  <c r="N11" i="3"/>
  <c r="N13" i="4" s="1"/>
  <c r="J11" i="3"/>
  <c r="J13" i="4" s="1"/>
  <c r="F11" i="3"/>
  <c r="F13" i="4" s="1"/>
  <c r="Y11" i="3"/>
  <c r="Y13" i="4" s="1"/>
  <c r="U11" i="3"/>
  <c r="U13" i="4" s="1"/>
  <c r="Q11" i="3"/>
  <c r="Q13" i="4" s="1"/>
  <c r="M11" i="3"/>
  <c r="M13" i="4" s="1"/>
  <c r="I11" i="3"/>
  <c r="I13" i="4" s="1"/>
  <c r="E11" i="3"/>
  <c r="E13" i="4" s="1"/>
  <c r="C11" i="3"/>
  <c r="C13" i="4" s="1"/>
  <c r="X11" i="3"/>
  <c r="X13" i="4" s="1"/>
  <c r="T11" i="3"/>
  <c r="T13" i="4" s="1"/>
  <c r="P11" i="3"/>
  <c r="P13" i="4" s="1"/>
  <c r="L11" i="3"/>
  <c r="L13" i="4" s="1"/>
  <c r="H11" i="3"/>
  <c r="H13" i="4" s="1"/>
  <c r="F14" i="1"/>
  <c r="F82" i="1"/>
  <c r="B82" i="1" s="1"/>
  <c r="B11" i="4"/>
  <c r="B12" i="4"/>
  <c r="F73" i="1"/>
  <c r="B73" i="1" s="1"/>
  <c r="B4" i="4"/>
  <c r="B5" i="4"/>
  <c r="B41" i="6"/>
  <c r="B20" i="4" s="1"/>
  <c r="B21" i="4"/>
  <c r="F15" i="1"/>
  <c r="B15" i="1" s="1"/>
  <c r="F16" i="1"/>
  <c r="B16" i="1" s="1"/>
  <c r="F17" i="1"/>
  <c r="B17" i="1" s="1"/>
  <c r="F18" i="1"/>
  <c r="B18" i="1" s="1"/>
  <c r="F13" i="1"/>
  <c r="B13" i="1" s="1"/>
  <c r="F23" i="1"/>
  <c r="B23" i="1" s="1"/>
  <c r="F24" i="1"/>
  <c r="B24" i="1" s="1"/>
  <c r="F25" i="1"/>
  <c r="B25" i="1" s="1"/>
  <c r="F26" i="1"/>
  <c r="B26" i="1" s="1"/>
  <c r="F27" i="1"/>
  <c r="B27" i="1" s="1"/>
  <c r="F28" i="1"/>
  <c r="B28" i="1" s="1"/>
  <c r="F29" i="1"/>
  <c r="B29" i="1" s="1"/>
  <c r="F31" i="1"/>
  <c r="B31" i="1" s="1"/>
  <c r="F32" i="1"/>
  <c r="B32" i="1" s="1"/>
  <c r="F33" i="1"/>
  <c r="B33" i="1" s="1"/>
  <c r="F34" i="1"/>
  <c r="F36" i="1"/>
  <c r="F40" i="1"/>
  <c r="B40" i="1" s="1"/>
  <c r="F41" i="1"/>
  <c r="B41" i="1" s="1"/>
  <c r="F42" i="1"/>
  <c r="B42" i="1" s="1"/>
  <c r="F43" i="1"/>
  <c r="B43" i="1" s="1"/>
  <c r="F45" i="1"/>
  <c r="B45" i="1" s="1"/>
  <c r="F46" i="1"/>
  <c r="B46" i="1" s="1"/>
  <c r="F47" i="1"/>
  <c r="B47" i="1" s="1"/>
  <c r="F48" i="1"/>
  <c r="B48" i="1" s="1"/>
  <c r="F50" i="1"/>
  <c r="B50" i="1" s="1"/>
  <c r="F51" i="1"/>
  <c r="B51" i="1" s="1"/>
  <c r="F52" i="1"/>
  <c r="B52" i="1" s="1"/>
  <c r="F53" i="1"/>
  <c r="B53" i="1" s="1"/>
  <c r="F55" i="1"/>
  <c r="B55" i="1" s="1"/>
  <c r="F56" i="1"/>
  <c r="B56" i="1" s="1"/>
  <c r="F57" i="1"/>
  <c r="B57" i="1" s="1"/>
  <c r="F58" i="1"/>
  <c r="B58" i="1" s="1"/>
  <c r="F60" i="1"/>
  <c r="B60" i="1" s="1"/>
  <c r="F61" i="1"/>
  <c r="B61" i="1" s="1"/>
  <c r="F62" i="1"/>
  <c r="B62" i="1" s="1"/>
  <c r="F63" i="1"/>
  <c r="B63" i="1" s="1"/>
  <c r="F64" i="1"/>
  <c r="B64" i="1" s="1"/>
  <c r="F65" i="1"/>
  <c r="B65" i="1" s="1"/>
  <c r="F66" i="1"/>
  <c r="B66" i="1" s="1"/>
  <c r="F67" i="1"/>
  <c r="B67" i="1" s="1"/>
  <c r="F68" i="1"/>
  <c r="B68" i="1" s="1"/>
  <c r="F8" i="1"/>
  <c r="F9" i="1"/>
  <c r="B9" i="1" s="1"/>
  <c r="F10" i="1"/>
  <c r="B10" i="1" s="1"/>
  <c r="F7" i="1"/>
  <c r="B7" i="1" s="1"/>
  <c r="F71" i="1"/>
  <c r="B71" i="1" s="1"/>
  <c r="F72" i="1"/>
  <c r="B72" i="1" s="1"/>
  <c r="F74" i="1"/>
  <c r="B74" i="1" s="1"/>
  <c r="F75" i="1"/>
  <c r="B75" i="1" s="1"/>
  <c r="F76" i="1"/>
  <c r="B76" i="1" s="1"/>
  <c r="F77" i="1"/>
  <c r="B77" i="1" s="1"/>
  <c r="F78" i="1"/>
  <c r="B78" i="1" s="1"/>
  <c r="F79" i="1"/>
  <c r="B79" i="1" s="1"/>
  <c r="F83" i="1"/>
  <c r="B83" i="1" s="1"/>
  <c r="F84" i="1"/>
  <c r="F85" i="1"/>
  <c r="F86" i="1"/>
  <c r="F87" i="1"/>
  <c r="F88" i="1"/>
  <c r="F89" i="1"/>
  <c r="F90" i="1"/>
  <c r="F91" i="1"/>
  <c r="F92" i="1"/>
  <c r="F93" i="1"/>
  <c r="F94" i="1"/>
  <c r="F95" i="1"/>
  <c r="F96" i="1"/>
  <c r="F97" i="1"/>
  <c r="F98" i="1"/>
  <c r="F99" i="1"/>
  <c r="F100" i="1"/>
  <c r="F101" i="1"/>
  <c r="F102" i="1"/>
  <c r="F103" i="1"/>
  <c r="F104" i="1"/>
  <c r="F105" i="1"/>
  <c r="F106" i="1"/>
  <c r="F107" i="1"/>
  <c r="C14" i="15"/>
  <c r="B7" i="15"/>
  <c r="B30" i="4"/>
  <c r="B42" i="3"/>
  <c r="A9" i="3"/>
  <c r="B24" i="3"/>
  <c r="B25" i="3"/>
  <c r="B27" i="3"/>
  <c r="B28" i="3"/>
  <c r="B30" i="3"/>
  <c r="B31" i="3"/>
  <c r="B33" i="3"/>
  <c r="B34" i="3"/>
  <c r="B36" i="3"/>
  <c r="B39" i="3"/>
  <c r="B17" i="6"/>
  <c r="B23" i="6"/>
  <c r="C14" i="4"/>
  <c r="D14" i="4"/>
  <c r="E14" i="4"/>
  <c r="F14" i="4"/>
  <c r="G14" i="4"/>
  <c r="H14" i="4"/>
  <c r="I14" i="4"/>
  <c r="J14" i="4"/>
  <c r="K14" i="4"/>
  <c r="L14" i="4"/>
  <c r="M14" i="4"/>
  <c r="N14" i="4"/>
  <c r="O14" i="4"/>
  <c r="P14" i="4"/>
  <c r="Q14" i="4"/>
  <c r="R14" i="4"/>
  <c r="S14" i="4"/>
  <c r="T14" i="4"/>
  <c r="U14" i="4"/>
  <c r="V14" i="4"/>
  <c r="W14" i="4"/>
  <c r="X14" i="4"/>
  <c r="Y14" i="4"/>
  <c r="Z14" i="4"/>
  <c r="AA14" i="4"/>
  <c r="A7" i="4"/>
  <c r="A16" i="4" s="1"/>
  <c r="A14" i="4"/>
  <c r="A12" i="4"/>
  <c r="A11" i="4"/>
  <c r="A12" i="3"/>
  <c r="A10" i="3"/>
  <c r="A4" i="3"/>
  <c r="AB15" i="15" l="1"/>
  <c r="E15" i="15"/>
  <c r="M15" i="15"/>
  <c r="N15" i="15"/>
  <c r="U15" i="15"/>
  <c r="F15" i="15"/>
  <c r="V15" i="15"/>
  <c r="I15" i="15"/>
  <c r="Q15" i="15"/>
  <c r="Y15" i="15"/>
  <c r="J15" i="15"/>
  <c r="R15" i="15"/>
  <c r="Z15" i="15"/>
  <c r="C15" i="15"/>
  <c r="G15" i="15"/>
  <c r="K15" i="15"/>
  <c r="O15" i="15"/>
  <c r="S15" i="15"/>
  <c r="W15" i="15"/>
  <c r="AA15" i="15"/>
  <c r="D15" i="15"/>
  <c r="H15" i="15"/>
  <c r="L15" i="15"/>
  <c r="P15" i="15"/>
  <c r="T15" i="15"/>
  <c r="X15" i="15"/>
  <c r="B101" i="1"/>
  <c r="U13" i="3" s="1"/>
  <c r="B93" i="1"/>
  <c r="M13" i="3" s="1"/>
  <c r="M7" i="4" s="1"/>
  <c r="B85" i="1"/>
  <c r="E13" i="3" s="1"/>
  <c r="B104" i="1"/>
  <c r="X13" i="3" s="1"/>
  <c r="X16" i="4" s="1"/>
  <c r="B100" i="1"/>
  <c r="T13" i="3" s="1"/>
  <c r="B96" i="1"/>
  <c r="P13" i="3" s="1"/>
  <c r="B92" i="1"/>
  <c r="L13" i="3" s="1"/>
  <c r="B88" i="1"/>
  <c r="H13" i="3" s="1"/>
  <c r="B84" i="1"/>
  <c r="D13" i="3" s="1"/>
  <c r="B34" i="1"/>
  <c r="H33" i="10" s="1"/>
  <c r="B105" i="1"/>
  <c r="Y13" i="3" s="1"/>
  <c r="B97" i="1"/>
  <c r="Q13" i="3" s="1"/>
  <c r="B89" i="1"/>
  <c r="I13" i="3" s="1"/>
  <c r="B36" i="1"/>
  <c r="B107" i="1"/>
  <c r="AA13" i="3" s="1"/>
  <c r="B103" i="1"/>
  <c r="W13" i="3" s="1"/>
  <c r="B99" i="1"/>
  <c r="S13" i="3" s="1"/>
  <c r="B95" i="1"/>
  <c r="O13" i="3" s="1"/>
  <c r="B91" i="1"/>
  <c r="K13" i="3" s="1"/>
  <c r="B87" i="1"/>
  <c r="G13" i="3" s="1"/>
  <c r="B8" i="1"/>
  <c r="C2" i="10" s="1"/>
  <c r="B106" i="1"/>
  <c r="Z13" i="3" s="1"/>
  <c r="B102" i="1"/>
  <c r="V13" i="3" s="1"/>
  <c r="B98" i="1"/>
  <c r="R13" i="3" s="1"/>
  <c r="B94" i="1"/>
  <c r="N13" i="3" s="1"/>
  <c r="B90" i="1"/>
  <c r="J13" i="3" s="1"/>
  <c r="B86" i="1"/>
  <c r="F13" i="3" s="1"/>
  <c r="B14" i="1"/>
  <c r="B12" i="3" s="1"/>
  <c r="B14" i="4" s="1"/>
  <c r="AB4" i="11"/>
  <c r="G4" i="11"/>
  <c r="K4" i="11"/>
  <c r="O4" i="11"/>
  <c r="S4" i="11"/>
  <c r="W4" i="11"/>
  <c r="AA4" i="11"/>
  <c r="M4" i="11"/>
  <c r="Y4" i="11"/>
  <c r="V4" i="11"/>
  <c r="D4" i="11"/>
  <c r="H4" i="11"/>
  <c r="L4" i="11"/>
  <c r="P4" i="11"/>
  <c r="T4" i="11"/>
  <c r="X4" i="11"/>
  <c r="C4" i="11"/>
  <c r="C3" i="11" s="1"/>
  <c r="I4" i="11"/>
  <c r="Q4" i="11"/>
  <c r="U4" i="11"/>
  <c r="N4" i="11"/>
  <c r="R4" i="11"/>
  <c r="Z4" i="11"/>
  <c r="E4" i="11"/>
  <c r="F4" i="11"/>
  <c r="J4" i="11"/>
  <c r="D10" i="3"/>
  <c r="D12" i="4" s="1"/>
  <c r="H10" i="3"/>
  <c r="H12" i="4" s="1"/>
  <c r="T10" i="3"/>
  <c r="T12" i="4" s="1"/>
  <c r="C10" i="3"/>
  <c r="C12" i="4" s="1"/>
  <c r="E10" i="3"/>
  <c r="E12" i="4" s="1"/>
  <c r="I10" i="3"/>
  <c r="I12" i="4" s="1"/>
  <c r="M10" i="3"/>
  <c r="M12" i="4" s="1"/>
  <c r="Q10" i="3"/>
  <c r="Q12" i="4" s="1"/>
  <c r="U10" i="3"/>
  <c r="U12" i="4" s="1"/>
  <c r="Y10" i="3"/>
  <c r="Y12" i="4" s="1"/>
  <c r="N10" i="3"/>
  <c r="N12" i="4" s="1"/>
  <c r="R10" i="3"/>
  <c r="R12" i="4" s="1"/>
  <c r="Z10" i="3"/>
  <c r="Z12" i="4" s="1"/>
  <c r="F10" i="3"/>
  <c r="F12" i="4" s="1"/>
  <c r="J10" i="3"/>
  <c r="J12" i="4" s="1"/>
  <c r="V10" i="3"/>
  <c r="V12" i="4" s="1"/>
  <c r="G10" i="3"/>
  <c r="G12" i="4" s="1"/>
  <c r="K10" i="3"/>
  <c r="K12" i="4" s="1"/>
  <c r="O10" i="3"/>
  <c r="O12" i="4" s="1"/>
  <c r="S10" i="3"/>
  <c r="S12" i="4" s="1"/>
  <c r="W10" i="3"/>
  <c r="W12" i="4" s="1"/>
  <c r="AA10" i="3"/>
  <c r="AA12" i="4" s="1"/>
  <c r="L10" i="3"/>
  <c r="L12" i="4" s="1"/>
  <c r="P10" i="3"/>
  <c r="P12" i="4" s="1"/>
  <c r="X10" i="3"/>
  <c r="X12" i="4" s="1"/>
  <c r="D9" i="3"/>
  <c r="D11" i="4" s="1"/>
  <c r="H9" i="3"/>
  <c r="H11" i="4" s="1"/>
  <c r="L9" i="3"/>
  <c r="L11" i="4" s="1"/>
  <c r="P9" i="3"/>
  <c r="P11" i="4" s="1"/>
  <c r="X9" i="3"/>
  <c r="X11" i="4" s="1"/>
  <c r="E9" i="3"/>
  <c r="E11" i="4" s="1"/>
  <c r="I9" i="3"/>
  <c r="I11" i="4" s="1"/>
  <c r="M9" i="3"/>
  <c r="M11" i="4" s="1"/>
  <c r="Q9" i="3"/>
  <c r="Q11" i="4" s="1"/>
  <c r="U9" i="3"/>
  <c r="U11" i="4" s="1"/>
  <c r="Y9" i="3"/>
  <c r="Y11" i="4" s="1"/>
  <c r="V9" i="3"/>
  <c r="V11" i="4" s="1"/>
  <c r="F9" i="3"/>
  <c r="F11" i="4" s="1"/>
  <c r="J9" i="3"/>
  <c r="J11" i="4" s="1"/>
  <c r="N9" i="3"/>
  <c r="N11" i="4" s="1"/>
  <c r="R9" i="3"/>
  <c r="R11" i="4" s="1"/>
  <c r="Z9" i="3"/>
  <c r="Z11" i="4" s="1"/>
  <c r="G9" i="3"/>
  <c r="G11" i="4" s="1"/>
  <c r="K9" i="3"/>
  <c r="K11" i="4" s="1"/>
  <c r="O9" i="3"/>
  <c r="O11" i="4" s="1"/>
  <c r="S9" i="3"/>
  <c r="S11" i="4" s="1"/>
  <c r="W9" i="3"/>
  <c r="W11" i="4" s="1"/>
  <c r="AA9" i="3"/>
  <c r="AA11" i="4" s="1"/>
  <c r="T9" i="3"/>
  <c r="T11" i="4" s="1"/>
  <c r="C9" i="3"/>
  <c r="C11" i="4" s="1"/>
  <c r="G7" i="3"/>
  <c r="C7" i="3"/>
  <c r="AA35" i="11"/>
  <c r="J18" i="11"/>
  <c r="W22" i="6"/>
  <c r="X25" i="6" s="1"/>
  <c r="AA22" i="6"/>
  <c r="AA18" i="5" s="1"/>
  <c r="Y22" i="6"/>
  <c r="X22" i="6"/>
  <c r="Y25" i="6" s="1"/>
  <c r="Z22" i="6"/>
  <c r="AA25" i="6" s="1"/>
  <c r="Y16" i="6"/>
  <c r="Z19" i="6" s="1"/>
  <c r="AA16" i="6"/>
  <c r="AA17" i="5" s="1"/>
  <c r="X16" i="6"/>
  <c r="Y19" i="6" s="1"/>
  <c r="Z16" i="6"/>
  <c r="AA19" i="6" s="1"/>
  <c r="B28" i="6"/>
  <c r="C30" i="6" s="1"/>
  <c r="AA10" i="6"/>
  <c r="AA16" i="5" s="1"/>
  <c r="Z10" i="6"/>
  <c r="AA11" i="6" s="1"/>
  <c r="B4" i="6"/>
  <c r="B15" i="5" s="1"/>
  <c r="B21" i="3"/>
  <c r="B11" i="5"/>
  <c r="B4" i="5"/>
  <c r="B22" i="4"/>
  <c r="D37" i="6"/>
  <c r="D40" i="3" s="1"/>
  <c r="W31" i="6"/>
  <c r="W37" i="3" s="1"/>
  <c r="B16" i="3"/>
  <c r="B17" i="3" s="1"/>
  <c r="B18" i="3" s="1"/>
  <c r="X31" i="6"/>
  <c r="X37" i="3" s="1"/>
  <c r="X7" i="3"/>
  <c r="R7" i="3"/>
  <c r="C28" i="6"/>
  <c r="C19" i="5" s="1"/>
  <c r="H11" i="5"/>
  <c r="C11" i="5"/>
  <c r="O11" i="5"/>
  <c r="V11" i="5"/>
  <c r="W23" i="11"/>
  <c r="D34" i="6"/>
  <c r="E36" i="6" s="1"/>
  <c r="E39" i="3" s="1"/>
  <c r="Q11" i="5"/>
  <c r="F11" i="5"/>
  <c r="S11" i="5"/>
  <c r="L11" i="5"/>
  <c r="E11" i="5"/>
  <c r="L7" i="3"/>
  <c r="F28" i="6"/>
  <c r="F19" i="5" s="1"/>
  <c r="N7" i="3"/>
  <c r="Y7" i="3"/>
  <c r="T7" i="3"/>
  <c r="T28" i="6"/>
  <c r="T19" i="5" s="1"/>
  <c r="Y28" i="6"/>
  <c r="Y19" i="5" s="1"/>
  <c r="B37" i="6"/>
  <c r="B40" i="3" s="1"/>
  <c r="H34" i="6"/>
  <c r="H20" i="5" s="1"/>
  <c r="B31" i="6"/>
  <c r="B29" i="6" s="1"/>
  <c r="C13" i="3"/>
  <c r="C7" i="4" s="1"/>
  <c r="W11" i="5"/>
  <c r="X11" i="5"/>
  <c r="AA11" i="5"/>
  <c r="P11" i="5"/>
  <c r="Y11" i="5"/>
  <c r="R15" i="4"/>
  <c r="B10" i="6"/>
  <c r="U7" i="3"/>
  <c r="K7" i="3"/>
  <c r="J7" i="3"/>
  <c r="L31" i="6"/>
  <c r="L37" i="3" s="1"/>
  <c r="S7" i="3"/>
  <c r="I34" i="6"/>
  <c r="I20" i="5" s="1"/>
  <c r="I28" i="6"/>
  <c r="J30" i="6" s="1"/>
  <c r="J36" i="3" s="1"/>
  <c r="U31" i="6"/>
  <c r="U37" i="3" s="1"/>
  <c r="Z11" i="5"/>
  <c r="T11" i="5"/>
  <c r="J11" i="5"/>
  <c r="M11" i="5"/>
  <c r="R11" i="5"/>
  <c r="W7" i="3"/>
  <c r="I7" i="3"/>
  <c r="M7" i="3"/>
  <c r="L28" i="6"/>
  <c r="M30" i="6" s="1"/>
  <c r="M31" i="6"/>
  <c r="M37" i="3" s="1"/>
  <c r="D7" i="3"/>
  <c r="M28" i="6"/>
  <c r="N30" i="6" s="1"/>
  <c r="N36" i="3" s="1"/>
  <c r="J37" i="6"/>
  <c r="J40" i="3" s="1"/>
  <c r="Q15" i="4"/>
  <c r="F29" i="11"/>
  <c r="F55" i="11" s="1"/>
  <c r="U16" i="11"/>
  <c r="I11" i="5"/>
  <c r="G11" i="5"/>
  <c r="N11" i="5"/>
  <c r="D11" i="5"/>
  <c r="U11" i="5"/>
  <c r="K11" i="5"/>
  <c r="E7" i="3"/>
  <c r="W18" i="11"/>
  <c r="AA7" i="3"/>
  <c r="P7" i="3"/>
  <c r="F7" i="3"/>
  <c r="Q7" i="3"/>
  <c r="AA31" i="6"/>
  <c r="AA37" i="3" s="1"/>
  <c r="O7" i="3"/>
  <c r="H7" i="3"/>
  <c r="O37" i="6"/>
  <c r="O40" i="3" s="1"/>
  <c r="V34" i="6"/>
  <c r="W36" i="6" s="1"/>
  <c r="Y37" i="11"/>
  <c r="Y63" i="11" s="1"/>
  <c r="H14" i="11"/>
  <c r="M12" i="11"/>
  <c r="F22" i="11"/>
  <c r="F48" i="11" s="1"/>
  <c r="P28" i="11"/>
  <c r="P54" i="11" s="1"/>
  <c r="K37" i="11"/>
  <c r="K63" i="11" s="1"/>
  <c r="H22" i="11"/>
  <c r="H48" i="11" s="1"/>
  <c r="X28" i="6"/>
  <c r="D28" i="6"/>
  <c r="N31" i="6"/>
  <c r="N37" i="3" s="1"/>
  <c r="Y31" i="6"/>
  <c r="Y37" i="3" s="1"/>
  <c r="R31" i="11"/>
  <c r="R57" i="11" s="1"/>
  <c r="V20" i="11"/>
  <c r="I22" i="11"/>
  <c r="I48" i="11" s="1"/>
  <c r="V21" i="11"/>
  <c r="Q35" i="11"/>
  <c r="Q61" i="11" s="1"/>
  <c r="F24" i="11"/>
  <c r="F50" i="11" s="1"/>
  <c r="F19" i="11"/>
  <c r="F45" i="11" s="1"/>
  <c r="D29" i="11"/>
  <c r="D55" i="11" s="1"/>
  <c r="Y25" i="11"/>
  <c r="Z34" i="11"/>
  <c r="AA15" i="11"/>
  <c r="AA41" i="11" s="1"/>
  <c r="K32" i="11"/>
  <c r="K58" i="11" s="1"/>
  <c r="G18" i="11"/>
  <c r="G44" i="11" s="1"/>
  <c r="O36" i="11"/>
  <c r="O62" i="11" s="1"/>
  <c r="L34" i="11"/>
  <c r="L60" i="11" s="1"/>
  <c r="H19" i="11"/>
  <c r="H45" i="11" s="1"/>
  <c r="T16" i="11"/>
  <c r="L32" i="11"/>
  <c r="L58" i="11" s="1"/>
  <c r="AA32" i="11"/>
  <c r="E19" i="11"/>
  <c r="E45" i="11" s="1"/>
  <c r="M18" i="11"/>
  <c r="U37" i="11"/>
  <c r="U63" i="11" s="1"/>
  <c r="I27" i="11"/>
  <c r="I53" i="11" s="1"/>
  <c r="W28" i="6"/>
  <c r="G31" i="6"/>
  <c r="G37" i="3" s="1"/>
  <c r="K31" i="6"/>
  <c r="K37" i="3" s="1"/>
  <c r="R31" i="6"/>
  <c r="R37" i="3" s="1"/>
  <c r="P28" i="6"/>
  <c r="V31" i="6"/>
  <c r="V37" i="3" s="1"/>
  <c r="D31" i="6"/>
  <c r="D37" i="3" s="1"/>
  <c r="C31" i="6"/>
  <c r="C37" i="3" s="1"/>
  <c r="T31" i="6"/>
  <c r="T37" i="3" s="1"/>
  <c r="J28" i="6"/>
  <c r="H28" i="6"/>
  <c r="E31" i="6"/>
  <c r="E37" i="3" s="1"/>
  <c r="I31" i="6"/>
  <c r="I37" i="3" s="1"/>
  <c r="N28" i="6"/>
  <c r="Q31" i="6"/>
  <c r="Q37" i="3" s="1"/>
  <c r="K28" i="6"/>
  <c r="G28" i="6"/>
  <c r="Q28" i="6"/>
  <c r="O28" i="6"/>
  <c r="S28" i="6"/>
  <c r="U28" i="6"/>
  <c r="H31" i="6"/>
  <c r="H37" i="3" s="1"/>
  <c r="X15" i="4"/>
  <c r="E15" i="4"/>
  <c r="P15" i="4"/>
  <c r="T15" i="4"/>
  <c r="S15" i="4"/>
  <c r="U33" i="11"/>
  <c r="U59" i="11" s="1"/>
  <c r="Y34" i="11"/>
  <c r="Y60" i="11" s="1"/>
  <c r="F14" i="11"/>
  <c r="L17" i="11"/>
  <c r="O25" i="11"/>
  <c r="O51" i="11" s="1"/>
  <c r="S31" i="6"/>
  <c r="S37" i="3" s="1"/>
  <c r="O31" i="6"/>
  <c r="O37" i="3" s="1"/>
  <c r="E28" i="6"/>
  <c r="AA28" i="6"/>
  <c r="AA19" i="5" s="1"/>
  <c r="F31" i="6"/>
  <c r="F37" i="3" s="1"/>
  <c r="V28" i="6"/>
  <c r="Z31" i="6"/>
  <c r="Z37" i="3" s="1"/>
  <c r="R28" i="6"/>
  <c r="J31" i="6"/>
  <c r="B16" i="6"/>
  <c r="C19" i="6" s="1"/>
  <c r="B13" i="3"/>
  <c r="H32" i="11"/>
  <c r="H58" i="11" s="1"/>
  <c r="W32" i="11"/>
  <c r="W58" i="11" s="1"/>
  <c r="Y26" i="11"/>
  <c r="Z36" i="11"/>
  <c r="Z62" i="11" s="1"/>
  <c r="E22" i="11"/>
  <c r="E48" i="11" s="1"/>
  <c r="X30" i="11"/>
  <c r="H12" i="11"/>
  <c r="T33" i="11"/>
  <c r="T59" i="11" s="1"/>
  <c r="N27" i="11"/>
  <c r="N53" i="11" s="1"/>
  <c r="S36" i="11"/>
  <c r="S62" i="11" s="1"/>
  <c r="N31" i="11"/>
  <c r="N57" i="11" s="1"/>
  <c r="AA20" i="11"/>
  <c r="U36" i="11"/>
  <c r="U62" i="11" s="1"/>
  <c r="I34" i="11"/>
  <c r="I60" i="11" s="1"/>
  <c r="P31" i="11"/>
  <c r="P57" i="11" s="1"/>
  <c r="E26" i="11"/>
  <c r="E52" i="11" s="1"/>
  <c r="K16" i="11"/>
  <c r="X14" i="11"/>
  <c r="J17" i="11"/>
  <c r="V19" i="11"/>
  <c r="N23" i="11"/>
  <c r="N49" i="11" s="1"/>
  <c r="L15" i="11"/>
  <c r="N20" i="11"/>
  <c r="U13" i="11"/>
  <c r="U29" i="11"/>
  <c r="P32" i="11"/>
  <c r="P58" i="11" s="1"/>
  <c r="Y16" i="11"/>
  <c r="E37" i="11"/>
  <c r="E63" i="11" s="1"/>
  <c r="S16" i="11"/>
  <c r="E35" i="11"/>
  <c r="E61" i="11" s="1"/>
  <c r="L14" i="11"/>
  <c r="H24" i="11"/>
  <c r="H50" i="11" s="1"/>
  <c r="AB19" i="11"/>
  <c r="S21" i="11"/>
  <c r="Y23" i="11"/>
  <c r="Z21" i="11"/>
  <c r="W34" i="11"/>
  <c r="W60" i="11" s="1"/>
  <c r="AA12" i="11"/>
  <c r="AA38" i="11" s="1"/>
  <c r="I25" i="11"/>
  <c r="I51" i="11" s="1"/>
  <c r="L35" i="11"/>
  <c r="L61" i="11" s="1"/>
  <c r="N34" i="11"/>
  <c r="N60" i="11" s="1"/>
  <c r="I12" i="11"/>
  <c r="O27" i="11"/>
  <c r="O53" i="11" s="1"/>
  <c r="L37" i="11"/>
  <c r="L63" i="11" s="1"/>
  <c r="M32" i="11"/>
  <c r="M58" i="11" s="1"/>
  <c r="AA23" i="11"/>
  <c r="M35" i="11"/>
  <c r="M61" i="11" s="1"/>
  <c r="W29" i="11"/>
  <c r="G12" i="11"/>
  <c r="E36" i="11"/>
  <c r="E62" i="11" s="1"/>
  <c r="U30" i="11"/>
  <c r="U56" i="11" s="1"/>
  <c r="I28" i="11"/>
  <c r="I54" i="11" s="1"/>
  <c r="U23" i="11"/>
  <c r="Y13" i="11"/>
  <c r="Y39" i="11" s="1"/>
  <c r="N15" i="11"/>
  <c r="Z17" i="11"/>
  <c r="L20" i="11"/>
  <c r="T24" i="11"/>
  <c r="R16" i="11"/>
  <c r="T21" i="11"/>
  <c r="G15" i="11"/>
  <c r="M17" i="11"/>
  <c r="G32" i="11"/>
  <c r="G58" i="11" s="1"/>
  <c r="D30" i="11"/>
  <c r="D56" i="11" s="1"/>
  <c r="E28" i="11"/>
  <c r="E54" i="11" s="1"/>
  <c r="R34" i="11"/>
  <c r="R60" i="11" s="1"/>
  <c r="L29" i="11"/>
  <c r="L55" i="11" s="1"/>
  <c r="K31" i="11"/>
  <c r="K57" i="11" s="1"/>
  <c r="X16" i="11"/>
  <c r="D13" i="11"/>
  <c r="D39" i="11" s="1"/>
  <c r="N22" i="11"/>
  <c r="J26" i="11"/>
  <c r="J52" i="11" s="1"/>
  <c r="M27" i="11"/>
  <c r="M53" i="11" s="1"/>
  <c r="T30" i="11"/>
  <c r="T56" i="11" s="1"/>
  <c r="J34" i="11"/>
  <c r="J60" i="11" s="1"/>
  <c r="C12" i="11"/>
  <c r="C38" i="11" s="1"/>
  <c r="Q27" i="11"/>
  <c r="Q53" i="11" s="1"/>
  <c r="S25" i="11"/>
  <c r="P17" i="11"/>
  <c r="F37" i="11"/>
  <c r="F63" i="11" s="1"/>
  <c r="H20" i="11"/>
  <c r="H46" i="11" s="1"/>
  <c r="R28" i="11"/>
  <c r="R54" i="11" s="1"/>
  <c r="K18" i="11"/>
  <c r="Q32" i="11"/>
  <c r="Q58" i="11" s="1"/>
  <c r="D32" i="11"/>
  <c r="D58" i="11" s="1"/>
  <c r="Q29" i="11"/>
  <c r="Q55" i="11" s="1"/>
  <c r="R14" i="11"/>
  <c r="V34" i="11"/>
  <c r="V60" i="11" s="1"/>
  <c r="G24" i="11"/>
  <c r="G50" i="11" s="1"/>
  <c r="D25" i="11"/>
  <c r="D51" i="11" s="1"/>
  <c r="N21" i="11"/>
  <c r="W36" i="11"/>
  <c r="W62" i="11" s="1"/>
  <c r="O13" i="11"/>
  <c r="R36" i="11"/>
  <c r="R62" i="11" s="1"/>
  <c r="K29" i="11"/>
  <c r="K55" i="11" s="1"/>
  <c r="L28" i="11"/>
  <c r="L54" i="11" s="1"/>
  <c r="AB33" i="11"/>
  <c r="W12" i="11"/>
  <c r="H30" i="11"/>
  <c r="H56" i="11" s="1"/>
  <c r="Y36" i="11"/>
  <c r="Y62" i="11" s="1"/>
  <c r="M26" i="11"/>
  <c r="M52" i="11" s="1"/>
  <c r="N13" i="11"/>
  <c r="L18" i="11"/>
  <c r="J23" i="11"/>
  <c r="J49" i="11" s="1"/>
  <c r="H15" i="11"/>
  <c r="J20" i="11"/>
  <c r="J46" i="11" s="1"/>
  <c r="H25" i="11"/>
  <c r="H51" i="11" s="1"/>
  <c r="Q18" i="11"/>
  <c r="S14" i="11"/>
  <c r="G30" i="11"/>
  <c r="G56" i="11" s="1"/>
  <c r="V37" i="11"/>
  <c r="V63" i="11" s="1"/>
  <c r="T32" i="11"/>
  <c r="T58" i="11" s="1"/>
  <c r="W27" i="11"/>
  <c r="R29" i="11"/>
  <c r="R55" i="11" s="1"/>
  <c r="G17" i="11"/>
  <c r="G43" i="11" s="1"/>
  <c r="O21" i="11"/>
  <c r="Q34" i="11"/>
  <c r="Q60" i="11" s="1"/>
  <c r="J13" i="11"/>
  <c r="F23" i="11"/>
  <c r="F49" i="11" s="1"/>
  <c r="V12" i="11"/>
  <c r="N32" i="11"/>
  <c r="N58" i="11" s="1"/>
  <c r="AA29" i="11"/>
  <c r="M23" i="11"/>
  <c r="M49" i="11" s="1"/>
  <c r="G35" i="11"/>
  <c r="G61" i="11" s="1"/>
  <c r="O29" i="11"/>
  <c r="O55" i="11" s="1"/>
  <c r="Z13" i="11"/>
  <c r="Z39" i="11" s="1"/>
  <c r="X18" i="11"/>
  <c r="V23" i="11"/>
  <c r="T15" i="11"/>
  <c r="P19" i="11"/>
  <c r="N24" i="11"/>
  <c r="N50" i="11" s="1"/>
  <c r="AA21" i="11"/>
  <c r="E13" i="11"/>
  <c r="M25" i="11"/>
  <c r="M51" i="11" s="1"/>
  <c r="M29" i="11"/>
  <c r="M55" i="11" s="1"/>
  <c r="F12" i="11"/>
  <c r="P16" i="11"/>
  <c r="R25" i="11"/>
  <c r="Q28" i="11"/>
  <c r="Q54" i="11" s="1"/>
  <c r="I23" i="11"/>
  <c r="I49" i="11" s="1"/>
  <c r="O37" i="11"/>
  <c r="O63" i="11" s="1"/>
  <c r="U24" i="11"/>
  <c r="D17" i="11"/>
  <c r="D43" i="11" s="1"/>
  <c r="K24" i="11"/>
  <c r="K50" i="11" s="1"/>
  <c r="Q20" i="11"/>
  <c r="M19" i="11"/>
  <c r="P12" i="11"/>
  <c r="Y20" i="11"/>
  <c r="U14" i="11"/>
  <c r="G31" i="11"/>
  <c r="G57" i="11" s="1"/>
  <c r="U35" i="11"/>
  <c r="U61" i="11" s="1"/>
  <c r="Q26" i="11"/>
  <c r="Q52" i="11" s="1"/>
  <c r="S35" i="11"/>
  <c r="S61" i="11" s="1"/>
  <c r="V31" i="11"/>
  <c r="V57" i="11" s="1"/>
  <c r="T14" i="11"/>
  <c r="R19" i="11"/>
  <c r="P24" i="11"/>
  <c r="N16" i="11"/>
  <c r="P21" i="11"/>
  <c r="S13" i="11"/>
  <c r="O23" i="11"/>
  <c r="E17" i="11"/>
  <c r="E43" i="11" s="1"/>
  <c r="O26" i="11"/>
  <c r="O52" i="11" s="1"/>
  <c r="M31" i="11"/>
  <c r="M57" i="11" s="1"/>
  <c r="L36" i="11"/>
  <c r="L62" i="11" s="1"/>
  <c r="D31" i="11"/>
  <c r="D57" i="11" s="1"/>
  <c r="Y24" i="11"/>
  <c r="X37" i="11"/>
  <c r="X63" i="11" s="1"/>
  <c r="G29" i="11"/>
  <c r="G55" i="11" s="1"/>
  <c r="G27" i="11"/>
  <c r="G53" i="11" s="1"/>
  <c r="W15" i="11"/>
  <c r="H35" i="11"/>
  <c r="H61" i="11" s="1"/>
  <c r="AB27" i="11"/>
  <c r="W19" i="11"/>
  <c r="Q24" i="11"/>
  <c r="P34" i="11"/>
  <c r="P60" i="11" s="1"/>
  <c r="Y14" i="11"/>
  <c r="F25" i="11"/>
  <c r="F51" i="11" s="1"/>
  <c r="X31" i="11"/>
  <c r="M22" i="11"/>
  <c r="M48" i="11" s="1"/>
  <c r="M13" i="11"/>
  <c r="G25" i="11"/>
  <c r="G51" i="11" s="1"/>
  <c r="J31" i="11"/>
  <c r="J57" i="11" s="1"/>
  <c r="K14" i="11"/>
  <c r="F20" i="11"/>
  <c r="F46" i="11" s="1"/>
  <c r="I36" i="11"/>
  <c r="I62" i="11" s="1"/>
  <c r="I13" i="11"/>
  <c r="AA27" i="11"/>
  <c r="D35" i="11"/>
  <c r="D61" i="11" s="1"/>
  <c r="K34" i="11"/>
  <c r="K60" i="11" s="1"/>
  <c r="O12" i="11"/>
  <c r="Z27" i="11"/>
  <c r="I17" i="11"/>
  <c r="M34" i="11"/>
  <c r="M60" i="11" s="1"/>
  <c r="E30" i="11"/>
  <c r="E56" i="11" s="1"/>
  <c r="Y21" i="11"/>
  <c r="Z15" i="11"/>
  <c r="X20" i="11"/>
  <c r="V25" i="11"/>
  <c r="T17" i="11"/>
  <c r="V22" i="11"/>
  <c r="E16" i="11"/>
  <c r="E42" i="11" s="1"/>
  <c r="AA25" i="11"/>
  <c r="Q19" i="11"/>
  <c r="U27" i="11"/>
  <c r="F35" i="11"/>
  <c r="F61" i="11" s="1"/>
  <c r="AA19" i="11"/>
  <c r="T35" i="11"/>
  <c r="T61" i="11" s="1"/>
  <c r="V36" i="11"/>
  <c r="V62" i="11" s="1"/>
  <c r="T28" i="11"/>
  <c r="H18" i="11"/>
  <c r="H44" i="11" s="1"/>
  <c r="M33" i="11"/>
  <c r="M59" i="11" s="1"/>
  <c r="S34" i="11"/>
  <c r="S60" i="11" s="1"/>
  <c r="P26" i="11"/>
  <c r="P52" i="11" s="1"/>
  <c r="P35" i="11"/>
  <c r="P61" i="11" s="1"/>
  <c r="Q16" i="11"/>
  <c r="I32" i="11"/>
  <c r="I58" i="11" s="1"/>
  <c r="S37" i="11"/>
  <c r="S63" i="11" s="1"/>
  <c r="U32" i="11"/>
  <c r="U58" i="11" s="1"/>
  <c r="AA24" i="11"/>
  <c r="L16" i="11"/>
  <c r="J21" i="11"/>
  <c r="J47" i="11" s="1"/>
  <c r="H13" i="11"/>
  <c r="F18" i="11"/>
  <c r="F44" i="11" s="1"/>
  <c r="AB21" i="11"/>
  <c r="Q14" i="11"/>
  <c r="N26" i="11"/>
  <c r="N52" i="11" s="1"/>
  <c r="O20" i="11"/>
  <c r="G28" i="11"/>
  <c r="G54" i="11" s="1"/>
  <c r="S30" i="11"/>
  <c r="S56" i="11" s="1"/>
  <c r="Z35" i="11"/>
  <c r="Z61" i="11" s="1"/>
  <c r="O32" i="11"/>
  <c r="O58" i="11" s="1"/>
  <c r="Z31" i="11"/>
  <c r="J15" i="11"/>
  <c r="P36" i="11"/>
  <c r="P62" i="11" s="1"/>
  <c r="I33" i="11"/>
  <c r="I59" i="11" s="1"/>
  <c r="AA16" i="11"/>
  <c r="D19" i="11"/>
  <c r="D45" i="11" s="1"/>
  <c r="O24" i="11"/>
  <c r="O50" i="11" s="1"/>
  <c r="N29" i="11"/>
  <c r="N55" i="11" s="1"/>
  <c r="Y12" i="11"/>
  <c r="Y38" i="11" s="1"/>
  <c r="T20" i="11"/>
  <c r="Z32" i="11"/>
  <c r="D33" i="11"/>
  <c r="D59" i="11" s="1"/>
  <c r="AB28" i="11"/>
  <c r="F31" i="11"/>
  <c r="F57" i="11" s="1"/>
  <c r="R17" i="11"/>
  <c r="N14" i="11"/>
  <c r="H23" i="11"/>
  <c r="H49" i="11" s="1"/>
  <c r="E32" i="11"/>
  <c r="E58" i="11" s="1"/>
  <c r="AB26" i="11"/>
  <c r="Y17" i="11"/>
  <c r="F30" i="11"/>
  <c r="F56" i="11" s="1"/>
  <c r="J28" i="11"/>
  <c r="J54" i="11" s="1"/>
  <c r="R30" i="11"/>
  <c r="R56" i="11" s="1"/>
  <c r="J30" i="11"/>
  <c r="J56" i="11" s="1"/>
  <c r="AB16" i="11"/>
  <c r="AB42" i="11" s="1"/>
  <c r="L24" i="11"/>
  <c r="L50" i="11" s="1"/>
  <c r="T26" i="11"/>
  <c r="AB12" i="11"/>
  <c r="AB38" i="11" s="1"/>
  <c r="W20" i="11"/>
  <c r="K17" i="11"/>
  <c r="N18" i="11"/>
  <c r="V17" i="11"/>
  <c r="AA36" i="11"/>
  <c r="AA62" i="11" s="1"/>
  <c r="P37" i="11"/>
  <c r="P63" i="11" s="1"/>
  <c r="S29" i="11"/>
  <c r="S55" i="11" s="1"/>
  <c r="I31" i="11"/>
  <c r="I57" i="11" s="1"/>
  <c r="W16" i="11"/>
  <c r="K13" i="11"/>
  <c r="J16" i="11"/>
  <c r="D14" i="11"/>
  <c r="D40" i="11" s="1"/>
  <c r="K12" i="11"/>
  <c r="R32" i="11"/>
  <c r="R58" i="11" s="1"/>
  <c r="I16" i="11"/>
  <c r="D26" i="11"/>
  <c r="D52" i="11" s="1"/>
  <c r="X29" i="11"/>
  <c r="AB32" i="11"/>
  <c r="N35" i="11"/>
  <c r="N61" i="11" s="1"/>
  <c r="N37" i="11"/>
  <c r="N63" i="11" s="1"/>
  <c r="L31" i="11"/>
  <c r="L57" i="11" s="1"/>
  <c r="I19" i="11"/>
  <c r="I45" i="11" s="1"/>
  <c r="T19" i="11"/>
  <c r="T37" i="11"/>
  <c r="T63" i="11" s="1"/>
  <c r="U20" i="11"/>
  <c r="U12" i="11"/>
  <c r="F17" i="11"/>
  <c r="F43" i="11" s="1"/>
  <c r="AB23" i="11"/>
  <c r="AA28" i="11"/>
  <c r="K23" i="11"/>
  <c r="K49" i="11" s="1"/>
  <c r="AA31" i="11"/>
  <c r="H37" i="11"/>
  <c r="H63" i="11" s="1"/>
  <c r="H33" i="11"/>
  <c r="H59" i="11" s="1"/>
  <c r="H26" i="11"/>
  <c r="H52" i="11" s="1"/>
  <c r="Q13" i="11"/>
  <c r="X27" i="11"/>
  <c r="D20" i="11"/>
  <c r="D46" i="11" s="1"/>
  <c r="Z16" i="11"/>
  <c r="T25" i="11"/>
  <c r="Q15" i="11"/>
  <c r="T34" i="11"/>
  <c r="T60" i="11" s="1"/>
  <c r="N30" i="11"/>
  <c r="N56" i="11" s="1"/>
  <c r="E18" i="11"/>
  <c r="E44" i="11" s="1"/>
  <c r="Q30" i="11"/>
  <c r="Q56" i="11" s="1"/>
  <c r="AA34" i="11"/>
  <c r="E12" i="11"/>
  <c r="O18" i="11"/>
  <c r="U26" i="11"/>
  <c r="I30" i="11"/>
  <c r="I56" i="11" s="1"/>
  <c r="W30" i="11"/>
  <c r="Y15" i="11"/>
  <c r="X25" i="11"/>
  <c r="X15" i="11"/>
  <c r="O14" i="11"/>
  <c r="V32" i="11"/>
  <c r="V58" i="11" s="1"/>
  <c r="X32" i="11"/>
  <c r="W28" i="11"/>
  <c r="D27" i="11"/>
  <c r="D53" i="11" s="1"/>
  <c r="X23" i="11"/>
  <c r="X13" i="11"/>
  <c r="S27" i="11"/>
  <c r="O34" i="11"/>
  <c r="O60" i="11" s="1"/>
  <c r="D12" i="11"/>
  <c r="D34" i="11"/>
  <c r="D60" i="11" s="1"/>
  <c r="E27" i="11"/>
  <c r="E53" i="11" s="1"/>
  <c r="D15" i="11"/>
  <c r="D41" i="11" s="1"/>
  <c r="N36" i="11"/>
  <c r="N62" i="11" s="1"/>
  <c r="G33" i="11"/>
  <c r="G59" i="11" s="1"/>
  <c r="D22" i="11"/>
  <c r="D48" i="11" s="1"/>
  <c r="R12" i="11"/>
  <c r="O22" i="11"/>
  <c r="I35" i="11"/>
  <c r="I61" i="11" s="1"/>
  <c r="M37" i="11"/>
  <c r="M63" i="11" s="1"/>
  <c r="I37" i="11"/>
  <c r="I63" i="11" s="1"/>
  <c r="M36" i="11"/>
  <c r="M62" i="11" s="1"/>
  <c r="E15" i="11"/>
  <c r="E41" i="11" s="1"/>
  <c r="P22" i="11"/>
  <c r="O19" i="11"/>
  <c r="AA22" i="11"/>
  <c r="Y31" i="11"/>
  <c r="N33" i="11"/>
  <c r="N59" i="11" s="1"/>
  <c r="G14" i="11"/>
  <c r="Q33" i="11"/>
  <c r="Q59" i="11" s="1"/>
  <c r="W35" i="11"/>
  <c r="W61" i="11" s="1"/>
  <c r="Q17" i="11"/>
  <c r="N19" i="11"/>
  <c r="J33" i="11"/>
  <c r="J59" i="11" s="1"/>
  <c r="K28" i="11"/>
  <c r="K54" i="11" s="1"/>
  <c r="R26" i="11"/>
  <c r="L23" i="11"/>
  <c r="L49" i="11" s="1"/>
  <c r="L13" i="11"/>
  <c r="J29" i="11"/>
  <c r="J55" i="11" s="1"/>
  <c r="S15" i="11"/>
  <c r="J35" i="11"/>
  <c r="J61" i="11" s="1"/>
  <c r="K26" i="11"/>
  <c r="K52" i="11" s="1"/>
  <c r="G23" i="11"/>
  <c r="G49" i="11" s="1"/>
  <c r="L21" i="11"/>
  <c r="L47" i="11" s="1"/>
  <c r="Z23" i="11"/>
  <c r="W33" i="11"/>
  <c r="W59" i="11" s="1"/>
  <c r="P29" i="11"/>
  <c r="P55" i="11" s="1"/>
  <c r="G21" i="11"/>
  <c r="G47" i="11" s="1"/>
  <c r="J27" i="11"/>
  <c r="J53" i="11" s="1"/>
  <c r="O31" i="11"/>
  <c r="O57" i="11" s="1"/>
  <c r="H34" i="11"/>
  <c r="H60" i="11" s="1"/>
  <c r="D36" i="11"/>
  <c r="D62" i="11" s="1"/>
  <c r="R24" i="11"/>
  <c r="AB13" i="11"/>
  <c r="AB39" i="11" s="1"/>
  <c r="V15" i="11"/>
  <c r="AA33" i="11"/>
  <c r="M24" i="11"/>
  <c r="M50" i="11" s="1"/>
  <c r="X28" i="11"/>
  <c r="O17" i="11"/>
  <c r="Z20" i="11"/>
  <c r="Z37" i="11"/>
  <c r="Z63" i="11" s="1"/>
  <c r="AB18" i="11"/>
  <c r="S23" i="11"/>
  <c r="J32" i="11"/>
  <c r="J58" i="11" s="1"/>
  <c r="T36" i="11"/>
  <c r="T62" i="11" s="1"/>
  <c r="U31" i="11"/>
  <c r="U57" i="11" s="1"/>
  <c r="Y29" i="11"/>
  <c r="W26" i="11"/>
  <c r="S22" i="11"/>
  <c r="AA18" i="11"/>
  <c r="P27" i="11"/>
  <c r="P53" i="11" s="1"/>
  <c r="K25" i="11"/>
  <c r="K51" i="11" s="1"/>
  <c r="M20" i="11"/>
  <c r="O15" i="11"/>
  <c r="J24" i="11"/>
  <c r="J50" i="11" s="1"/>
  <c r="X21" i="11"/>
  <c r="L19" i="11"/>
  <c r="V16" i="11"/>
  <c r="R23" i="11"/>
  <c r="F21" i="11"/>
  <c r="F47" i="11" s="1"/>
  <c r="T18" i="11"/>
  <c r="H16" i="11"/>
  <c r="V13" i="11"/>
  <c r="S20" i="11"/>
  <c r="Y28" i="11"/>
  <c r="F32" i="11"/>
  <c r="F58" i="11" s="1"/>
  <c r="E34" i="11"/>
  <c r="E60" i="11" s="1"/>
  <c r="Q36" i="11"/>
  <c r="Q62" i="11" s="1"/>
  <c r="U19" i="11"/>
  <c r="K36" i="11"/>
  <c r="K62" i="11" s="1"/>
  <c r="W17" i="11"/>
  <c r="L30" i="11"/>
  <c r="L56" i="11" s="1"/>
  <c r="X35" i="11"/>
  <c r="X61" i="11" s="1"/>
  <c r="I26" i="11"/>
  <c r="I52" i="11" s="1"/>
  <c r="S12" i="11"/>
  <c r="X33" i="11"/>
  <c r="X59" i="11" s="1"/>
  <c r="F34" i="11"/>
  <c r="F60" i="11" s="1"/>
  <c r="P33" i="11"/>
  <c r="P59" i="11" s="1"/>
  <c r="W22" i="11"/>
  <c r="K19" i="11"/>
  <c r="L26" i="11"/>
  <c r="L52" i="11" s="1"/>
  <c r="M28" i="11"/>
  <c r="M54" i="11" s="1"/>
  <c r="AB34" i="11"/>
  <c r="R37" i="11"/>
  <c r="R63" i="11" s="1"/>
  <c r="Q31" i="11"/>
  <c r="Q57" i="11" s="1"/>
  <c r="E29" i="11"/>
  <c r="E55" i="11" s="1"/>
  <c r="S26" i="11"/>
  <c r="E21" i="11"/>
  <c r="E47" i="11" s="1"/>
  <c r="G16" i="11"/>
  <c r="G42" i="11" s="1"/>
  <c r="L27" i="11"/>
  <c r="L53" i="11" s="1"/>
  <c r="Q22" i="11"/>
  <c r="Y18" i="11"/>
  <c r="AA13" i="11"/>
  <c r="AA39" i="11" s="1"/>
  <c r="V24" i="11"/>
  <c r="J22" i="11"/>
  <c r="J48" i="11" s="1"/>
  <c r="X19" i="11"/>
  <c r="H17" i="11"/>
  <c r="H43" i="11" s="1"/>
  <c r="V14" i="11"/>
  <c r="J25" i="11"/>
  <c r="J51" i="11" s="1"/>
  <c r="X22" i="11"/>
  <c r="F27" i="11"/>
  <c r="F53" i="11" s="1"/>
  <c r="H27" i="11"/>
  <c r="H53" i="11" s="1"/>
  <c r="M15" i="11"/>
  <c r="F15" i="11"/>
  <c r="F41" i="11" s="1"/>
  <c r="AA26" i="11"/>
  <c r="G13" i="11"/>
  <c r="K33" i="11"/>
  <c r="K59" i="11" s="1"/>
  <c r="V35" i="11"/>
  <c r="V61" i="11" s="1"/>
  <c r="T22" i="11"/>
  <c r="U21" i="11"/>
  <c r="R33" i="11"/>
  <c r="R59" i="11" s="1"/>
  <c r="T12" i="11"/>
  <c r="E31" i="11"/>
  <c r="E57" i="11" s="1"/>
  <c r="I29" i="11"/>
  <c r="I55" i="11" s="1"/>
  <c r="G26" i="11"/>
  <c r="G52" i="11" s="1"/>
  <c r="M21" i="11"/>
  <c r="U17" i="11"/>
  <c r="E24" i="11"/>
  <c r="E50" i="11" s="1"/>
  <c r="G19" i="11"/>
  <c r="G45" i="11" s="1"/>
  <c r="I14" i="11"/>
  <c r="T23" i="11"/>
  <c r="H21" i="11"/>
  <c r="H47" i="11" s="1"/>
  <c r="V18" i="11"/>
  <c r="F16" i="11"/>
  <c r="F42" i="11" s="1"/>
  <c r="J14" i="11"/>
  <c r="N25" i="11"/>
  <c r="N51" i="11" s="1"/>
  <c r="AB22" i="11"/>
  <c r="P20" i="11"/>
  <c r="D18" i="11"/>
  <c r="D44" i="11" s="1"/>
  <c r="R15" i="11"/>
  <c r="F13" i="11"/>
  <c r="E23" i="11"/>
  <c r="E49" i="11" s="1"/>
  <c r="T29" i="11"/>
  <c r="T55" i="11" s="1"/>
  <c r="Y32" i="11"/>
  <c r="U34" i="11"/>
  <c r="U60" i="11" s="1"/>
  <c r="G37" i="11"/>
  <c r="G63" i="11" s="1"/>
  <c r="S24" i="11"/>
  <c r="S32" i="11"/>
  <c r="S58" i="11" s="1"/>
  <c r="Q37" i="11"/>
  <c r="Q63" i="11" s="1"/>
  <c r="U22" i="11"/>
  <c r="AB31" i="11"/>
  <c r="D37" i="11"/>
  <c r="D63" i="11" s="1"/>
  <c r="AB29" i="11"/>
  <c r="S19" i="11"/>
  <c r="J36" i="11"/>
  <c r="J62" i="11" s="1"/>
  <c r="K20" i="11"/>
  <c r="K46" i="11" s="1"/>
  <c r="Y35" i="11"/>
  <c r="Y61" i="11" s="1"/>
  <c r="W21" i="11"/>
  <c r="Y30" i="11"/>
  <c r="F33" i="11"/>
  <c r="F59" i="11" s="1"/>
  <c r="R35" i="11"/>
  <c r="R61" i="11" s="1"/>
  <c r="X12" i="11"/>
  <c r="X38" i="11" s="1"/>
  <c r="AA30" i="11"/>
  <c r="O28" i="11"/>
  <c r="O54" i="11" s="1"/>
  <c r="W24" i="11"/>
  <c r="Y19" i="11"/>
  <c r="AA14" i="11"/>
  <c r="AA40" i="11" s="1"/>
  <c r="V26" i="11"/>
  <c r="K21" i="11"/>
  <c r="K47" i="11" s="1"/>
  <c r="S17" i="11"/>
  <c r="AB25" i="11"/>
  <c r="Z30" i="11"/>
  <c r="K15" i="11"/>
  <c r="I20" i="11"/>
  <c r="I46" i="11" s="1"/>
  <c r="Z33" i="11"/>
  <c r="AB37" i="11"/>
  <c r="AB63" i="11" s="1"/>
  <c r="AB24" i="11"/>
  <c r="J37" i="11"/>
  <c r="J63" i="11" s="1"/>
  <c r="W25" i="11"/>
  <c r="P14" i="11"/>
  <c r="U25" i="11"/>
  <c r="G22" i="11"/>
  <c r="G48" i="11" s="1"/>
  <c r="I18" i="11"/>
  <c r="I44" i="11" s="1"/>
  <c r="Q21" i="11"/>
  <c r="W13" i="11"/>
  <c r="H28" i="11"/>
  <c r="H54" i="11" s="1"/>
  <c r="X34" i="11"/>
  <c r="X60" i="11" s="1"/>
  <c r="J12" i="11"/>
  <c r="O30" i="11"/>
  <c r="O56" i="11" s="1"/>
  <c r="S28" i="11"/>
  <c r="S54" i="11" s="1"/>
  <c r="E25" i="11"/>
  <c r="E51" i="11" s="1"/>
  <c r="G20" i="11"/>
  <c r="G46" i="11" s="1"/>
  <c r="O16" i="11"/>
  <c r="Z26" i="11"/>
  <c r="Y22" i="11"/>
  <c r="AA17" i="11"/>
  <c r="P25" i="11"/>
  <c r="P51" i="11" s="1"/>
  <c r="D23" i="11"/>
  <c r="D49" i="11" s="1"/>
  <c r="R20" i="11"/>
  <c r="AB17" i="11"/>
  <c r="P15" i="11"/>
  <c r="T13" i="11"/>
  <c r="X24" i="11"/>
  <c r="L22" i="11"/>
  <c r="L48" i="11" s="1"/>
  <c r="Z19" i="11"/>
  <c r="N17" i="11"/>
  <c r="AB14" i="11"/>
  <c r="AB40" i="11" s="1"/>
  <c r="U15" i="11"/>
  <c r="Q25" i="11"/>
  <c r="P30" i="11"/>
  <c r="P56" i="11" s="1"/>
  <c r="O33" i="11"/>
  <c r="O59" i="11" s="1"/>
  <c r="K35" i="11"/>
  <c r="K61" i="11" s="1"/>
  <c r="W37" i="11"/>
  <c r="W63" i="11" s="1"/>
  <c r="V27" i="11"/>
  <c r="Y33" i="11"/>
  <c r="X26" i="11"/>
  <c r="L33" i="11"/>
  <c r="L59" i="11" s="1"/>
  <c r="Z12" i="11"/>
  <c r="Z38" i="11" s="1"/>
  <c r="E33" i="11"/>
  <c r="E59" i="11" s="1"/>
  <c r="T27" i="11"/>
  <c r="L12" i="11"/>
  <c r="Q12" i="11"/>
  <c r="H31" i="11"/>
  <c r="H57" i="11" s="1"/>
  <c r="Z28" i="11"/>
  <c r="AB36" i="11"/>
  <c r="M14" i="11"/>
  <c r="I24" i="11"/>
  <c r="I50" i="11" s="1"/>
  <c r="R27" i="11"/>
  <c r="R53" i="11" s="1"/>
  <c r="H29" i="11"/>
  <c r="H55" i="11" s="1"/>
  <c r="T31" i="11"/>
  <c r="T57" i="11" s="1"/>
  <c r="V33" i="11"/>
  <c r="V59" i="11" s="1"/>
  <c r="H36" i="11"/>
  <c r="H62" i="11" s="1"/>
  <c r="N12" i="11"/>
  <c r="K30" i="11"/>
  <c r="K56" i="11" s="1"/>
  <c r="Y27" i="11"/>
  <c r="Q23" i="11"/>
  <c r="S18" i="11"/>
  <c r="F26" i="11"/>
  <c r="F52" i="11" s="1"/>
  <c r="E20" i="11"/>
  <c r="E46" i="11" s="1"/>
  <c r="M16" i="11"/>
  <c r="L25" i="11"/>
  <c r="L51" i="11" s="1"/>
  <c r="P23" i="11"/>
  <c r="D21" i="11"/>
  <c r="D47" i="11" s="1"/>
  <c r="R18" i="11"/>
  <c r="AB15" i="11"/>
  <c r="AB41" i="11" s="1"/>
  <c r="P13" i="11"/>
  <c r="D24" i="11"/>
  <c r="D50" i="11" s="1"/>
  <c r="R21" i="11"/>
  <c r="V28" i="11"/>
  <c r="AB35" i="11"/>
  <c r="V29" i="11"/>
  <c r="W31" i="11"/>
  <c r="G36" i="11"/>
  <c r="G62" i="11" s="1"/>
  <c r="F36" i="11"/>
  <c r="F62" i="11" s="1"/>
  <c r="V30" i="11"/>
  <c r="E14" i="11"/>
  <c r="E40" i="11" s="1"/>
  <c r="G34" i="11"/>
  <c r="G60" i="11" s="1"/>
  <c r="F28" i="11"/>
  <c r="F54" i="11" s="1"/>
  <c r="AA37" i="11"/>
  <c r="AA63" i="11" s="1"/>
  <c r="O35" i="11"/>
  <c r="O61" i="11" s="1"/>
  <c r="S33" i="11"/>
  <c r="S59" i="11" s="1"/>
  <c r="Z29" i="11"/>
  <c r="K27" i="11"/>
  <c r="K53" i="11" s="1"/>
  <c r="I21" i="11"/>
  <c r="I47" i="11" s="1"/>
  <c r="R13" i="11"/>
  <c r="D16" i="11"/>
  <c r="D42" i="11" s="1"/>
  <c r="P18" i="11"/>
  <c r="AB20" i="11"/>
  <c r="Z25" i="11"/>
  <c r="X17" i="11"/>
  <c r="Z22" i="11"/>
  <c r="K22" i="11"/>
  <c r="K48" i="11" s="1"/>
  <c r="X36" i="11"/>
  <c r="X62" i="11" s="1"/>
  <c r="AB30" i="11"/>
  <c r="U28" i="11"/>
  <c r="W14" i="11"/>
  <c r="D28" i="11"/>
  <c r="D54" i="11" s="1"/>
  <c r="J19" i="11"/>
  <c r="J45" i="11" s="1"/>
  <c r="Z14" i="11"/>
  <c r="Z40" i="11" s="1"/>
  <c r="Z24" i="11"/>
  <c r="I15" i="11"/>
  <c r="U18" i="11"/>
  <c r="Z18" i="11"/>
  <c r="S31" i="11"/>
  <c r="S57" i="11" s="1"/>
  <c r="N28" i="11"/>
  <c r="N54" i="11" s="1"/>
  <c r="P31" i="6"/>
  <c r="P37" i="3" s="1"/>
  <c r="AA34" i="6"/>
  <c r="AA20" i="5" s="1"/>
  <c r="Z28" i="6"/>
  <c r="AA37" i="6"/>
  <c r="AA40" i="3" s="1"/>
  <c r="Z7" i="3"/>
  <c r="B22" i="6"/>
  <c r="C25" i="6" s="1"/>
  <c r="W15" i="4"/>
  <c r="N15" i="4"/>
  <c r="F15" i="4"/>
  <c r="J15" i="4"/>
  <c r="V15" i="4"/>
  <c r="AA15" i="4"/>
  <c r="Y15" i="4"/>
  <c r="D15" i="4"/>
  <c r="U15" i="4"/>
  <c r="K15" i="4"/>
  <c r="M15" i="4"/>
  <c r="L15" i="4"/>
  <c r="Z15" i="4"/>
  <c r="C15" i="4"/>
  <c r="O15" i="4"/>
  <c r="I15" i="4"/>
  <c r="G15" i="4"/>
  <c r="H15" i="4"/>
  <c r="P34" i="6"/>
  <c r="M34" i="6"/>
  <c r="T37" i="6"/>
  <c r="T40" i="3" s="1"/>
  <c r="K37" i="6"/>
  <c r="K40" i="3" s="1"/>
  <c r="I37" i="6"/>
  <c r="I40" i="3" s="1"/>
  <c r="R37" i="6"/>
  <c r="R40" i="3" s="1"/>
  <c r="M37" i="6"/>
  <c r="M40" i="3" s="1"/>
  <c r="O34" i="6"/>
  <c r="W37" i="6"/>
  <c r="W40" i="3" s="1"/>
  <c r="L34" i="6"/>
  <c r="P37" i="6"/>
  <c r="P40" i="3" s="1"/>
  <c r="C34" i="6"/>
  <c r="H37" i="6"/>
  <c r="H40" i="3" s="1"/>
  <c r="Z37" i="6"/>
  <c r="Z40" i="3" s="1"/>
  <c r="G37" i="6"/>
  <c r="G40" i="3" s="1"/>
  <c r="S34" i="6"/>
  <c r="Y37" i="6"/>
  <c r="Y40" i="3" s="1"/>
  <c r="B34" i="6"/>
  <c r="L37" i="6"/>
  <c r="L40" i="3" s="1"/>
  <c r="U34" i="6"/>
  <c r="N34" i="6"/>
  <c r="F37" i="6"/>
  <c r="F40" i="3" s="1"/>
  <c r="X37" i="6"/>
  <c r="X40" i="3" s="1"/>
  <c r="Z34" i="6"/>
  <c r="K34" i="6"/>
  <c r="F34" i="6"/>
  <c r="U37" i="6"/>
  <c r="U40" i="3" s="1"/>
  <c r="G34" i="6"/>
  <c r="Q37" i="6"/>
  <c r="Q40" i="3" s="1"/>
  <c r="R34" i="6"/>
  <c r="E34" i="6"/>
  <c r="Y34" i="6"/>
  <c r="T34" i="6"/>
  <c r="S37" i="6"/>
  <c r="S40" i="3" s="1"/>
  <c r="E37" i="6"/>
  <c r="E40" i="3" s="1"/>
  <c r="N37" i="6"/>
  <c r="N40" i="3" s="1"/>
  <c r="Q34" i="6"/>
  <c r="J34" i="6"/>
  <c r="X34" i="6"/>
  <c r="V37" i="6"/>
  <c r="V40" i="3" s="1"/>
  <c r="W34" i="6"/>
  <c r="C37" i="6"/>
  <c r="C40" i="3" s="1"/>
  <c r="V7" i="3"/>
  <c r="C37" i="11"/>
  <c r="C63" i="11" s="1"/>
  <c r="C35" i="11"/>
  <c r="C61" i="11" s="1"/>
  <c r="C33" i="11"/>
  <c r="C59" i="11" s="1"/>
  <c r="C31" i="11"/>
  <c r="C57" i="11" s="1"/>
  <c r="C29" i="11"/>
  <c r="C55" i="11" s="1"/>
  <c r="C27" i="11"/>
  <c r="C53" i="11" s="1"/>
  <c r="C25" i="11"/>
  <c r="C51" i="11" s="1"/>
  <c r="C23" i="11"/>
  <c r="C49" i="11" s="1"/>
  <c r="C21" i="11"/>
  <c r="C47" i="11" s="1"/>
  <c r="C19" i="11"/>
  <c r="C45" i="11" s="1"/>
  <c r="C17" i="11"/>
  <c r="C43" i="11" s="1"/>
  <c r="C15" i="11"/>
  <c r="C41" i="11" s="1"/>
  <c r="C13" i="11"/>
  <c r="C39" i="11" s="1"/>
  <c r="R22" i="11"/>
  <c r="M30" i="11"/>
  <c r="M56" i="11" s="1"/>
  <c r="C36" i="11"/>
  <c r="C62" i="11" s="1"/>
  <c r="C34" i="11"/>
  <c r="C60" i="11" s="1"/>
  <c r="C32" i="11"/>
  <c r="C58" i="11" s="1"/>
  <c r="C30" i="11"/>
  <c r="C56" i="11" s="1"/>
  <c r="C28" i="11"/>
  <c r="C54" i="11" s="1"/>
  <c r="C26" i="11"/>
  <c r="C52" i="11" s="1"/>
  <c r="C24" i="11"/>
  <c r="C50" i="11" s="1"/>
  <c r="C22" i="11"/>
  <c r="C48" i="11" s="1"/>
  <c r="C20" i="11"/>
  <c r="C46" i="11" s="1"/>
  <c r="C18" i="11"/>
  <c r="C44" i="11" s="1"/>
  <c r="C16" i="11"/>
  <c r="C42" i="11" s="1"/>
  <c r="C14" i="11"/>
  <c r="C40" i="11" s="1"/>
  <c r="E31" i="10" l="1"/>
  <c r="T35" i="10"/>
  <c r="U40" i="10"/>
  <c r="C27" i="10"/>
  <c r="AB21" i="10"/>
  <c r="H41" i="10"/>
  <c r="I36" i="10"/>
  <c r="C5" i="6"/>
  <c r="J26" i="10"/>
  <c r="V38" i="10"/>
  <c r="F22" i="10"/>
  <c r="I23" i="10"/>
  <c r="J29" i="10"/>
  <c r="T40" i="10"/>
  <c r="O37" i="10"/>
  <c r="N37" i="10"/>
  <c r="V40" i="10"/>
  <c r="G21" i="10"/>
  <c r="J34" i="10"/>
  <c r="O36" i="10"/>
  <c r="C41" i="10"/>
  <c r="K27" i="10"/>
  <c r="M31" i="10"/>
  <c r="K34" i="10"/>
  <c r="G33" i="10"/>
  <c r="N39" i="10"/>
  <c r="E37" i="10"/>
  <c r="J25" i="10"/>
  <c r="F21" i="10"/>
  <c r="C34" i="10"/>
  <c r="D18" i="10"/>
  <c r="Q33" i="10"/>
  <c r="S40" i="10"/>
  <c r="X39" i="10"/>
  <c r="F37" i="10"/>
  <c r="C19" i="10"/>
  <c r="P39" i="10"/>
  <c r="L33" i="10"/>
  <c r="I29" i="10"/>
  <c r="H22" i="10"/>
  <c r="H34" i="10"/>
  <c r="U36" i="10"/>
  <c r="Y39" i="10"/>
  <c r="L28" i="10"/>
  <c r="W40" i="10"/>
  <c r="O41" i="10"/>
  <c r="M30" i="10"/>
  <c r="I39" i="10"/>
  <c r="C28" i="10"/>
  <c r="F36" i="10"/>
  <c r="R40" i="10"/>
  <c r="C30" i="10"/>
  <c r="S34" i="10"/>
  <c r="Q34" i="10"/>
  <c r="AA41" i="10"/>
  <c r="E24" i="10"/>
  <c r="C39" i="10"/>
  <c r="O30" i="10"/>
  <c r="Y18" i="10"/>
  <c r="F20" i="10"/>
  <c r="G28" i="10"/>
  <c r="D39" i="10"/>
  <c r="K32" i="10"/>
  <c r="H23" i="10"/>
  <c r="R34" i="10"/>
  <c r="N32" i="10"/>
  <c r="E34" i="10"/>
  <c r="D28" i="10"/>
  <c r="D19" i="10"/>
  <c r="S33" i="10"/>
  <c r="H25" i="10"/>
  <c r="C31" i="10"/>
  <c r="R39" i="10"/>
  <c r="F41" i="10"/>
  <c r="N41" i="10"/>
  <c r="H38" i="10"/>
  <c r="I28" i="10"/>
  <c r="C21" i="10"/>
  <c r="K39" i="10"/>
  <c r="F27" i="10"/>
  <c r="G23" i="10"/>
  <c r="M27" i="10"/>
  <c r="U37" i="10"/>
  <c r="G30" i="10"/>
  <c r="T38" i="10"/>
  <c r="E35" i="10"/>
  <c r="H36" i="10"/>
  <c r="C24" i="10"/>
  <c r="J31" i="10"/>
  <c r="AA18" i="10"/>
  <c r="J38" i="10"/>
  <c r="I31" i="10"/>
  <c r="O29" i="10"/>
  <c r="K38" i="10"/>
  <c r="G40" i="10"/>
  <c r="X40" i="10"/>
  <c r="C17" i="10"/>
  <c r="J33" i="10"/>
  <c r="O35" i="10"/>
  <c r="Z18" i="10"/>
  <c r="G27" i="10"/>
  <c r="N30" i="10"/>
  <c r="G36" i="10"/>
  <c r="N28" i="10"/>
  <c r="F23" i="10"/>
  <c r="S36" i="10"/>
  <c r="H32" i="10"/>
  <c r="D41" i="10"/>
  <c r="C37" i="10"/>
  <c r="I34" i="10"/>
  <c r="D36" i="10"/>
  <c r="M40" i="10"/>
  <c r="E30" i="10"/>
  <c r="AB20" i="10"/>
  <c r="I24" i="10"/>
  <c r="C20" i="10"/>
  <c r="C40" i="10"/>
  <c r="J32" i="10"/>
  <c r="D27" i="10"/>
  <c r="Q35" i="10"/>
  <c r="G24" i="10"/>
  <c r="D26" i="10"/>
  <c r="L39" i="10"/>
  <c r="P31" i="10"/>
  <c r="L40" i="10"/>
  <c r="J41" i="10"/>
  <c r="T36" i="10"/>
  <c r="D22" i="10"/>
  <c r="J35" i="10"/>
  <c r="W39" i="10"/>
  <c r="Q31" i="10"/>
  <c r="E38" i="10"/>
  <c r="F40" i="10"/>
  <c r="E26" i="10"/>
  <c r="M34" i="10"/>
  <c r="D35" i="10"/>
  <c r="F32" i="10"/>
  <c r="G26" i="10"/>
  <c r="Q38" i="10"/>
  <c r="T39" i="10"/>
  <c r="H27" i="10"/>
  <c r="P41" i="10"/>
  <c r="K28" i="10"/>
  <c r="P37" i="10"/>
  <c r="L29" i="10"/>
  <c r="E32" i="10"/>
  <c r="F34" i="10"/>
  <c r="F25" i="10"/>
  <c r="I41" i="10"/>
  <c r="E27" i="10"/>
  <c r="E25" i="10"/>
  <c r="K29" i="10"/>
  <c r="L32" i="10"/>
  <c r="Z41" i="10"/>
  <c r="G25" i="10"/>
  <c r="Q36" i="10"/>
  <c r="R41" i="10"/>
  <c r="G38" i="10"/>
  <c r="J39" i="10"/>
  <c r="F38" i="10"/>
  <c r="V36" i="10"/>
  <c r="D38" i="10"/>
  <c r="P35" i="10"/>
  <c r="H35" i="10"/>
  <c r="T37" i="10"/>
  <c r="F29" i="10"/>
  <c r="U38" i="10"/>
  <c r="I38" i="10"/>
  <c r="K30" i="10"/>
  <c r="E28" i="10"/>
  <c r="AB19" i="10"/>
  <c r="W41" i="10"/>
  <c r="I33" i="10"/>
  <c r="R38" i="10"/>
  <c r="R37" i="10"/>
  <c r="E19" i="10"/>
  <c r="Q39" i="10"/>
  <c r="U39" i="10"/>
  <c r="H30" i="10"/>
  <c r="V37" i="10"/>
  <c r="K25" i="10"/>
  <c r="C23" i="10"/>
  <c r="T41" i="10"/>
  <c r="D37" i="10"/>
  <c r="C26" i="10"/>
  <c r="C32" i="10"/>
  <c r="F28" i="10"/>
  <c r="F31" i="10"/>
  <c r="E21" i="10"/>
  <c r="C29" i="10"/>
  <c r="C25" i="10"/>
  <c r="J30" i="10"/>
  <c r="F33" i="10"/>
  <c r="D25" i="10"/>
  <c r="M41" i="10"/>
  <c r="H40" i="10"/>
  <c r="Y17" i="10"/>
  <c r="X17" i="10"/>
  <c r="E33" i="10"/>
  <c r="AA19" i="10"/>
  <c r="C35" i="10"/>
  <c r="G29" i="10"/>
  <c r="L34" i="10"/>
  <c r="P32" i="10"/>
  <c r="N38" i="10"/>
  <c r="L37" i="10"/>
  <c r="G41" i="10"/>
  <c r="E36" i="10"/>
  <c r="H39" i="10"/>
  <c r="L30" i="10"/>
  <c r="G22" i="10"/>
  <c r="X41" i="10"/>
  <c r="H37" i="10"/>
  <c r="N34" i="10"/>
  <c r="Z17" i="10"/>
  <c r="G32" i="10"/>
  <c r="L26" i="10"/>
  <c r="F35" i="10"/>
  <c r="M32" i="10"/>
  <c r="L31" i="10"/>
  <c r="I26" i="10"/>
  <c r="K41" i="10"/>
  <c r="I30" i="10"/>
  <c r="E20" i="10"/>
  <c r="O39" i="10"/>
  <c r="S37" i="10"/>
  <c r="P30" i="10"/>
  <c r="U35" i="10"/>
  <c r="O38" i="10"/>
  <c r="K31" i="10"/>
  <c r="D33" i="10"/>
  <c r="J36" i="10"/>
  <c r="E41" i="10"/>
  <c r="S41" i="10"/>
  <c r="N31" i="10"/>
  <c r="C33" i="10"/>
  <c r="D30" i="10"/>
  <c r="J24" i="10"/>
  <c r="I27" i="10"/>
  <c r="D34" i="10"/>
  <c r="S39" i="10"/>
  <c r="O32" i="10"/>
  <c r="W38" i="10"/>
  <c r="J27" i="10"/>
  <c r="G37" i="10"/>
  <c r="E40" i="10"/>
  <c r="N33" i="10"/>
  <c r="J28" i="10"/>
  <c r="C22" i="10"/>
  <c r="W37" i="10"/>
  <c r="M38" i="10"/>
  <c r="M35" i="10"/>
  <c r="K33" i="10"/>
  <c r="D21" i="10"/>
  <c r="Q41" i="10"/>
  <c r="R35" i="10"/>
  <c r="F30" i="10"/>
  <c r="V39" i="10"/>
  <c r="S35" i="10"/>
  <c r="C18" i="10"/>
  <c r="D29" i="10"/>
  <c r="C38" i="10"/>
  <c r="P36" i="10"/>
  <c r="L41" i="10"/>
  <c r="Y41" i="10"/>
  <c r="F39" i="10"/>
  <c r="I35" i="10"/>
  <c r="M36" i="10"/>
  <c r="M29" i="10"/>
  <c r="H29" i="10"/>
  <c r="M37" i="10"/>
  <c r="S38" i="10"/>
  <c r="T34" i="10"/>
  <c r="M28" i="10"/>
  <c r="K26" i="10"/>
  <c r="O33" i="10"/>
  <c r="Q32" i="10"/>
  <c r="D24" i="10"/>
  <c r="C36" i="10"/>
  <c r="O40" i="10"/>
  <c r="R32" i="10"/>
  <c r="P34" i="10"/>
  <c r="Q37" i="10"/>
  <c r="K35" i="10"/>
  <c r="R33" i="10"/>
  <c r="L38" i="10"/>
  <c r="H24" i="10"/>
  <c r="X38" i="10"/>
  <c r="L27" i="10"/>
  <c r="P38" i="10"/>
  <c r="N29" i="10"/>
  <c r="D23" i="10"/>
  <c r="I40" i="10"/>
  <c r="F24" i="10"/>
  <c r="I37" i="10"/>
  <c r="M33" i="10"/>
  <c r="G31" i="10"/>
  <c r="K37" i="10"/>
  <c r="D40" i="10"/>
  <c r="F26" i="10"/>
  <c r="K36" i="10"/>
  <c r="M39" i="10"/>
  <c r="N40" i="10"/>
  <c r="J40" i="10"/>
  <c r="E23" i="10"/>
  <c r="O31" i="10"/>
  <c r="AB18" i="10"/>
  <c r="AB17" i="10"/>
  <c r="AA17" i="10"/>
  <c r="G34" i="10"/>
  <c r="AA20" i="10"/>
  <c r="Z40" i="10"/>
  <c r="H28" i="10"/>
  <c r="V41" i="10"/>
  <c r="L35" i="10"/>
  <c r="N35" i="10"/>
  <c r="I32" i="10"/>
  <c r="O34" i="10"/>
  <c r="E29" i="10"/>
  <c r="D31" i="10"/>
  <c r="D20" i="10"/>
  <c r="J37" i="10"/>
  <c r="P33" i="10"/>
  <c r="U41" i="10"/>
  <c r="L36" i="10"/>
  <c r="R36" i="10"/>
  <c r="Y40" i="10"/>
  <c r="E22" i="10"/>
  <c r="Q40" i="10"/>
  <c r="H26" i="10"/>
  <c r="K40" i="10"/>
  <c r="G35" i="10"/>
  <c r="P40" i="10"/>
  <c r="D32" i="10"/>
  <c r="N36" i="10"/>
  <c r="E39" i="10"/>
  <c r="H31" i="10"/>
  <c r="G39" i="10"/>
  <c r="Z19" i="10"/>
  <c r="I25" i="10"/>
  <c r="T7" i="4"/>
  <c r="T16" i="4"/>
  <c r="T17" i="4" s="1"/>
  <c r="L16" i="4"/>
  <c r="L17" i="4" s="1"/>
  <c r="L7" i="4"/>
  <c r="P7" i="4"/>
  <c r="P16" i="4"/>
  <c r="P17" i="4" s="1"/>
  <c r="D7" i="4"/>
  <c r="D16" i="4"/>
  <c r="D17" i="4" s="1"/>
  <c r="H7" i="4"/>
  <c r="H16" i="4"/>
  <c r="H17" i="4" s="1"/>
  <c r="U16" i="4"/>
  <c r="U17" i="4" s="1"/>
  <c r="U7" i="4"/>
  <c r="J7" i="4"/>
  <c r="J16" i="4"/>
  <c r="J17" i="4" s="1"/>
  <c r="Z16" i="4"/>
  <c r="Z17" i="4" s="1"/>
  <c r="Z7" i="4"/>
  <c r="O16" i="4"/>
  <c r="O17" i="4" s="1"/>
  <c r="O7" i="4"/>
  <c r="N7" i="4"/>
  <c r="N16" i="4"/>
  <c r="N17" i="4" s="1"/>
  <c r="C5" i="10"/>
  <c r="D2" i="10"/>
  <c r="D5" i="10" s="1"/>
  <c r="S7" i="4"/>
  <c r="S16" i="4"/>
  <c r="S17" i="4" s="1"/>
  <c r="I16" i="4"/>
  <c r="I17" i="4" s="1"/>
  <c r="I7" i="4"/>
  <c r="R7" i="4"/>
  <c r="R16" i="4"/>
  <c r="R17" i="4" s="1"/>
  <c r="G7" i="4"/>
  <c r="G16" i="4"/>
  <c r="G17" i="4" s="1"/>
  <c r="W16" i="4"/>
  <c r="W17" i="4" s="1"/>
  <c r="W7" i="4"/>
  <c r="Q7" i="4"/>
  <c r="Q16" i="4"/>
  <c r="Q17" i="4" s="1"/>
  <c r="F7" i="4"/>
  <c r="F16" i="4"/>
  <c r="F17" i="4" s="1"/>
  <c r="V16" i="4"/>
  <c r="V17" i="4" s="1"/>
  <c r="V7" i="4"/>
  <c r="K16" i="4"/>
  <c r="K17" i="4" s="1"/>
  <c r="K7" i="4"/>
  <c r="AA7" i="4"/>
  <c r="AA16" i="4"/>
  <c r="AA17" i="4" s="1"/>
  <c r="Y7" i="4"/>
  <c r="Y16" i="4"/>
  <c r="Y17" i="4" s="1"/>
  <c r="E7" i="4"/>
  <c r="E16" i="4"/>
  <c r="E17" i="4" s="1"/>
  <c r="M16" i="4"/>
  <c r="M17" i="4" s="1"/>
  <c r="X7" i="4"/>
  <c r="Y18" i="5"/>
  <c r="Z25" i="6"/>
  <c r="Z34" i="3" s="1"/>
  <c r="C11" i="6"/>
  <c r="C18" i="6"/>
  <c r="C30" i="3" s="1"/>
  <c r="C16" i="6"/>
  <c r="D19" i="6" s="1"/>
  <c r="X24" i="6"/>
  <c r="AA24" i="6"/>
  <c r="AA33" i="3" s="1"/>
  <c r="AA34" i="3"/>
  <c r="Y24" i="6"/>
  <c r="Y34" i="3"/>
  <c r="Z24" i="6"/>
  <c r="Z17" i="5"/>
  <c r="AA31" i="3"/>
  <c r="Z18" i="6"/>
  <c r="Z30" i="3" s="1"/>
  <c r="Z31" i="3"/>
  <c r="Y18" i="6"/>
  <c r="Y30" i="3" s="1"/>
  <c r="Y31" i="3"/>
  <c r="AA13" i="6"/>
  <c r="AA28" i="3" s="1"/>
  <c r="AA12" i="6"/>
  <c r="AA27" i="3" s="1"/>
  <c r="C6" i="6"/>
  <c r="Z16" i="5"/>
  <c r="B3" i="6"/>
  <c r="I36" i="6"/>
  <c r="I39" i="3" s="1"/>
  <c r="B37" i="3"/>
  <c r="X18" i="5"/>
  <c r="B7" i="4"/>
  <c r="B16" i="4"/>
  <c r="B17" i="4" s="1"/>
  <c r="U30" i="6"/>
  <c r="U36" i="3" s="1"/>
  <c r="B16" i="5"/>
  <c r="J36" i="6"/>
  <c r="J35" i="6" s="1"/>
  <c r="I19" i="5"/>
  <c r="J29" i="6"/>
  <c r="C16" i="4"/>
  <c r="C17" i="4" s="1"/>
  <c r="D30" i="6"/>
  <c r="D36" i="3" s="1"/>
  <c r="C12" i="6"/>
  <c r="C27" i="3" s="1"/>
  <c r="B9" i="6"/>
  <c r="B26" i="3" s="1"/>
  <c r="V20" i="5"/>
  <c r="Z18" i="5"/>
  <c r="Z30" i="6"/>
  <c r="Z36" i="3" s="1"/>
  <c r="D3" i="11"/>
  <c r="E3" i="11" s="1"/>
  <c r="F3" i="11" s="1"/>
  <c r="G3" i="11" s="1"/>
  <c r="H3" i="11" s="1"/>
  <c r="I3" i="11" s="1"/>
  <c r="J3" i="11" s="1"/>
  <c r="K3" i="11" s="1"/>
  <c r="L3" i="11" s="1"/>
  <c r="M3" i="11" s="1"/>
  <c r="N3" i="11" s="1"/>
  <c r="O3" i="11" s="1"/>
  <c r="P3" i="11" s="1"/>
  <c r="Q3" i="11" s="1"/>
  <c r="R3" i="11" s="1"/>
  <c r="S3" i="11" s="1"/>
  <c r="T3" i="11" s="1"/>
  <c r="U3" i="11" s="1"/>
  <c r="V3" i="11" s="1"/>
  <c r="W3" i="11" s="1"/>
  <c r="X3" i="11" s="1"/>
  <c r="Y3" i="11" s="1"/>
  <c r="M19" i="5"/>
  <c r="AA18" i="6"/>
  <c r="AA30" i="3" s="1"/>
  <c r="B35" i="6"/>
  <c r="G30" i="6"/>
  <c r="N29" i="6"/>
  <c r="J37" i="3"/>
  <c r="D20" i="5"/>
  <c r="M29" i="6"/>
  <c r="M36" i="3"/>
  <c r="L19" i="5"/>
  <c r="B40" i="6"/>
  <c r="S19" i="5"/>
  <c r="T30" i="6"/>
  <c r="X30" i="6"/>
  <c r="W19" i="5"/>
  <c r="B17" i="5"/>
  <c r="B15" i="6"/>
  <c r="B29" i="3" s="1"/>
  <c r="P30" i="6"/>
  <c r="P36" i="3" s="1"/>
  <c r="O19" i="5"/>
  <c r="B19" i="5"/>
  <c r="B27" i="6"/>
  <c r="K19" i="5"/>
  <c r="L30" i="6"/>
  <c r="L29" i="6" s="1"/>
  <c r="R19" i="5"/>
  <c r="S30" i="6"/>
  <c r="Q19" i="5"/>
  <c r="R30" i="6"/>
  <c r="I30" i="6"/>
  <c r="H19" i="5"/>
  <c r="Y30" i="6"/>
  <c r="X19" i="5"/>
  <c r="V19" i="5"/>
  <c r="W30" i="6"/>
  <c r="Q30" i="6"/>
  <c r="P19" i="5"/>
  <c r="C4" i="5"/>
  <c r="D4" i="5" s="1"/>
  <c r="X17" i="4"/>
  <c r="F30" i="6"/>
  <c r="E19" i="5"/>
  <c r="U19" i="5"/>
  <c r="V30" i="6"/>
  <c r="H30" i="6"/>
  <c r="G19" i="5"/>
  <c r="N19" i="5"/>
  <c r="O30" i="6"/>
  <c r="J19" i="5"/>
  <c r="K30" i="6"/>
  <c r="E30" i="6"/>
  <c r="D19" i="5"/>
  <c r="W18" i="5"/>
  <c r="X17" i="5"/>
  <c r="Z19" i="5"/>
  <c r="AA30" i="6"/>
  <c r="Y17" i="5"/>
  <c r="B18" i="5"/>
  <c r="C22" i="6"/>
  <c r="D25" i="6" s="1"/>
  <c r="C24" i="6"/>
  <c r="B21" i="6"/>
  <c r="C64" i="11"/>
  <c r="C10" i="11" s="1"/>
  <c r="B6" i="4" s="1"/>
  <c r="U36" i="6"/>
  <c r="T20" i="5"/>
  <c r="N20" i="5"/>
  <c r="O36" i="6"/>
  <c r="K36" i="6"/>
  <c r="J20" i="5"/>
  <c r="Y20" i="5"/>
  <c r="Z36" i="6"/>
  <c r="H36" i="6"/>
  <c r="G20" i="5"/>
  <c r="Z20" i="5"/>
  <c r="AA36" i="6"/>
  <c r="U20" i="5"/>
  <c r="V36" i="6"/>
  <c r="S20" i="5"/>
  <c r="T36" i="6"/>
  <c r="C20" i="5"/>
  <c r="D36" i="6"/>
  <c r="O20" i="5"/>
  <c r="P36" i="6"/>
  <c r="K20" i="5"/>
  <c r="L36" i="6"/>
  <c r="Q36" i="6"/>
  <c r="P20" i="5"/>
  <c r="X36" i="6"/>
  <c r="W20" i="5"/>
  <c r="R36" i="6"/>
  <c r="Q20" i="5"/>
  <c r="E20" i="5"/>
  <c r="F36" i="6"/>
  <c r="W35" i="6"/>
  <c r="W39" i="3"/>
  <c r="E35" i="6"/>
  <c r="Y36" i="6"/>
  <c r="X20" i="5"/>
  <c r="R20" i="5"/>
  <c r="S36" i="6"/>
  <c r="F20" i="5"/>
  <c r="G36" i="6"/>
  <c r="B33" i="6"/>
  <c r="C36" i="6"/>
  <c r="B20" i="5"/>
  <c r="L20" i="5"/>
  <c r="M36" i="6"/>
  <c r="N36" i="6"/>
  <c r="M20" i="5"/>
  <c r="C13" i="6" l="1"/>
  <c r="C7" i="6"/>
  <c r="C4" i="6" s="1"/>
  <c r="D5" i="6" s="1"/>
  <c r="C10" i="10"/>
  <c r="C14" i="10" s="1"/>
  <c r="B8" i="3" s="1"/>
  <c r="E2" i="10"/>
  <c r="F2" i="10" s="1"/>
  <c r="D3" i="10"/>
  <c r="D6" i="10"/>
  <c r="Z3" i="11"/>
  <c r="AA3" i="11" s="1"/>
  <c r="AB3" i="11" s="1"/>
  <c r="C17" i="6"/>
  <c r="X23" i="6"/>
  <c r="D16" i="6"/>
  <c r="E19" i="6" s="1"/>
  <c r="X34" i="3"/>
  <c r="Z23" i="6"/>
  <c r="AA23" i="6"/>
  <c r="C24" i="3"/>
  <c r="C41" i="6"/>
  <c r="C20" i="4" s="1"/>
  <c r="D24" i="6"/>
  <c r="D23" i="6" s="1"/>
  <c r="D22" i="6"/>
  <c r="E25" i="6" s="1"/>
  <c r="Y23" i="6"/>
  <c r="Y33" i="3"/>
  <c r="C34" i="3"/>
  <c r="B35" i="3"/>
  <c r="C27" i="6"/>
  <c r="C35" i="3" s="1"/>
  <c r="B23" i="3"/>
  <c r="I35" i="6"/>
  <c r="U29" i="6"/>
  <c r="B8" i="4"/>
  <c r="J39" i="3"/>
  <c r="AA17" i="6"/>
  <c r="D29" i="6"/>
  <c r="Z29" i="6"/>
  <c r="C10" i="6"/>
  <c r="Y17" i="6"/>
  <c r="G36" i="3"/>
  <c r="G29" i="6"/>
  <c r="Z17" i="6"/>
  <c r="K36" i="3"/>
  <c r="K29" i="6"/>
  <c r="H29" i="6"/>
  <c r="H36" i="3"/>
  <c r="F36" i="3"/>
  <c r="F29" i="6"/>
  <c r="W29" i="6"/>
  <c r="W36" i="3"/>
  <c r="R36" i="3"/>
  <c r="R29" i="6"/>
  <c r="X29" i="6"/>
  <c r="X36" i="3"/>
  <c r="Q29" i="6"/>
  <c r="Q36" i="3"/>
  <c r="I36" i="3"/>
  <c r="I29" i="6"/>
  <c r="C31" i="3"/>
  <c r="O29" i="6"/>
  <c r="O36" i="3"/>
  <c r="V29" i="6"/>
  <c r="V36" i="3"/>
  <c r="Y36" i="3"/>
  <c r="Y29" i="6"/>
  <c r="L36" i="3"/>
  <c r="C36" i="3"/>
  <c r="C29" i="6"/>
  <c r="T36" i="3"/>
  <c r="T29" i="6"/>
  <c r="P29" i="6"/>
  <c r="E29" i="6"/>
  <c r="E36" i="3"/>
  <c r="S36" i="3"/>
  <c r="S29" i="6"/>
  <c r="X33" i="3"/>
  <c r="Z33" i="3"/>
  <c r="AA36" i="3"/>
  <c r="AA29" i="6"/>
  <c r="B32" i="3"/>
  <c r="C21" i="6"/>
  <c r="C23" i="6"/>
  <c r="C33" i="3"/>
  <c r="O35" i="6"/>
  <c r="O39" i="3"/>
  <c r="G35" i="6"/>
  <c r="G39" i="3"/>
  <c r="C25" i="3"/>
  <c r="F35" i="6"/>
  <c r="F39" i="3"/>
  <c r="R35" i="6"/>
  <c r="R39" i="3"/>
  <c r="L39" i="3"/>
  <c r="L35" i="6"/>
  <c r="D39" i="3"/>
  <c r="D35" i="6"/>
  <c r="V39" i="3"/>
  <c r="V35" i="6"/>
  <c r="M39" i="3"/>
  <c r="M35" i="6"/>
  <c r="AA39" i="3"/>
  <c r="AA35" i="6"/>
  <c r="Y39" i="3"/>
  <c r="Y35" i="6"/>
  <c r="E4" i="5"/>
  <c r="B38" i="3"/>
  <c r="C33" i="6"/>
  <c r="C38" i="3" s="1"/>
  <c r="C4" i="3"/>
  <c r="C4" i="4" s="1"/>
  <c r="X35" i="6"/>
  <c r="X39" i="3"/>
  <c r="Q39" i="3"/>
  <c r="Q35" i="6"/>
  <c r="Z35" i="6"/>
  <c r="Z39" i="3"/>
  <c r="N39" i="3"/>
  <c r="N35" i="6"/>
  <c r="C39" i="3"/>
  <c r="C35" i="6"/>
  <c r="S35" i="6"/>
  <c r="S39" i="3"/>
  <c r="P39" i="3"/>
  <c r="P35" i="6"/>
  <c r="T39" i="3"/>
  <c r="T35" i="6"/>
  <c r="H35" i="6"/>
  <c r="H39" i="3"/>
  <c r="K39" i="3"/>
  <c r="K35" i="6"/>
  <c r="U35" i="6"/>
  <c r="U39" i="3"/>
  <c r="C3" i="6" l="1"/>
  <c r="C23" i="3" s="1"/>
  <c r="D6" i="6"/>
  <c r="D7" i="6" s="1"/>
  <c r="D4" i="6" s="1"/>
  <c r="E5" i="6" s="1"/>
  <c r="D14" i="10"/>
  <c r="C8" i="3" s="1"/>
  <c r="D17" i="10"/>
  <c r="D10" i="10" s="1"/>
  <c r="E17" i="10"/>
  <c r="E5" i="10"/>
  <c r="D4" i="3" s="1"/>
  <c r="E3" i="10"/>
  <c r="S17" i="10"/>
  <c r="V17" i="10"/>
  <c r="T17" i="10"/>
  <c r="U17" i="10"/>
  <c r="W17" i="10"/>
  <c r="D11" i="6"/>
  <c r="B26" i="4"/>
  <c r="B12" i="5" s="1"/>
  <c r="D21" i="6"/>
  <c r="D32" i="3" s="1"/>
  <c r="E16" i="6"/>
  <c r="F19" i="6" s="1"/>
  <c r="E24" i="6"/>
  <c r="E23" i="6" s="1"/>
  <c r="E22" i="6"/>
  <c r="F25" i="6" s="1"/>
  <c r="C18" i="5"/>
  <c r="D34" i="3"/>
  <c r="D12" i="6"/>
  <c r="C28" i="3"/>
  <c r="G17" i="10"/>
  <c r="H17" i="10"/>
  <c r="F17" i="10"/>
  <c r="J17" i="10"/>
  <c r="Q17" i="10"/>
  <c r="R17" i="10"/>
  <c r="N17" i="10"/>
  <c r="P17" i="10"/>
  <c r="L17" i="10"/>
  <c r="K17" i="10"/>
  <c r="O17" i="10"/>
  <c r="M17" i="10"/>
  <c r="I17" i="10"/>
  <c r="C15" i="6"/>
  <c r="C29" i="3" s="1"/>
  <c r="C17" i="5"/>
  <c r="D31" i="3"/>
  <c r="D18" i="6"/>
  <c r="C32" i="3"/>
  <c r="D33" i="6"/>
  <c r="F4" i="5"/>
  <c r="G2" i="10"/>
  <c r="F5" i="10"/>
  <c r="F3" i="10"/>
  <c r="C15" i="5"/>
  <c r="D13" i="6" l="1"/>
  <c r="D10" i="6" s="1"/>
  <c r="E11" i="6" s="1"/>
  <c r="E6" i="10"/>
  <c r="T18" i="10" s="1"/>
  <c r="C3" i="15"/>
  <c r="C6" i="15" s="1"/>
  <c r="C6" i="3"/>
  <c r="F16" i="6"/>
  <c r="G19" i="6" s="1"/>
  <c r="E21" i="6"/>
  <c r="E32" i="3" s="1"/>
  <c r="F24" i="6"/>
  <c r="F23" i="6" s="1"/>
  <c r="F22" i="6"/>
  <c r="G25" i="6" s="1"/>
  <c r="D33" i="3"/>
  <c r="E34" i="3"/>
  <c r="D18" i="5"/>
  <c r="C40" i="6"/>
  <c r="C9" i="6"/>
  <c r="D27" i="3"/>
  <c r="C16" i="5"/>
  <c r="D9" i="11"/>
  <c r="Q18" i="10"/>
  <c r="R18" i="10"/>
  <c r="M18" i="10"/>
  <c r="I18" i="10"/>
  <c r="L18" i="10"/>
  <c r="K18" i="10"/>
  <c r="O18" i="10"/>
  <c r="S18" i="10"/>
  <c r="D17" i="6"/>
  <c r="D30" i="3"/>
  <c r="D38" i="3"/>
  <c r="E33" i="6"/>
  <c r="D24" i="3"/>
  <c r="D4" i="4"/>
  <c r="G4" i="5"/>
  <c r="G5" i="10"/>
  <c r="G3" i="10"/>
  <c r="H2" i="10"/>
  <c r="E4" i="3"/>
  <c r="F6" i="10"/>
  <c r="E12" i="6" l="1"/>
  <c r="G18" i="10"/>
  <c r="J18" i="10"/>
  <c r="X18" i="10"/>
  <c r="W18" i="10"/>
  <c r="V18" i="10"/>
  <c r="U18" i="10"/>
  <c r="P18" i="10"/>
  <c r="F18" i="10"/>
  <c r="H18" i="10"/>
  <c r="N18" i="10"/>
  <c r="E14" i="10"/>
  <c r="D8" i="3" s="1"/>
  <c r="E9" i="11" s="1"/>
  <c r="E18" i="10"/>
  <c r="E10" i="10" s="1"/>
  <c r="D6" i="3" s="1"/>
  <c r="E13" i="6"/>
  <c r="E10" i="6" s="1"/>
  <c r="F14" i="10"/>
  <c r="E8" i="3" s="1"/>
  <c r="U19" i="10"/>
  <c r="X19" i="10"/>
  <c r="Y19" i="10"/>
  <c r="V19" i="10"/>
  <c r="W19" i="10"/>
  <c r="C5" i="15"/>
  <c r="C7" i="15" s="1"/>
  <c r="C10" i="15" s="1"/>
  <c r="C11" i="15" s="1"/>
  <c r="D14" i="15" s="1"/>
  <c r="F21" i="6"/>
  <c r="G16" i="6"/>
  <c r="G22" i="6"/>
  <c r="H25" i="6" s="1"/>
  <c r="G24" i="6"/>
  <c r="G23" i="6" s="1"/>
  <c r="F34" i="3"/>
  <c r="E33" i="3"/>
  <c r="D27" i="6"/>
  <c r="D35" i="3" s="1"/>
  <c r="D41" i="6"/>
  <c r="D20" i="4" s="1"/>
  <c r="D28" i="3"/>
  <c r="D9" i="6"/>
  <c r="C26" i="3"/>
  <c r="U39" i="11"/>
  <c r="L39" i="11"/>
  <c r="H39" i="11"/>
  <c r="E39" i="11"/>
  <c r="W39" i="11"/>
  <c r="P39" i="11"/>
  <c r="S39" i="11"/>
  <c r="J39" i="11"/>
  <c r="N39" i="11"/>
  <c r="Q39" i="11"/>
  <c r="K39" i="11"/>
  <c r="G39" i="11"/>
  <c r="M39" i="11"/>
  <c r="V39" i="11"/>
  <c r="R39" i="11"/>
  <c r="X39" i="11"/>
  <c r="I39" i="11"/>
  <c r="O39" i="11"/>
  <c r="T39" i="11"/>
  <c r="F39" i="11"/>
  <c r="M19" i="10"/>
  <c r="L19" i="10"/>
  <c r="Q19" i="10"/>
  <c r="H19" i="10"/>
  <c r="K19" i="10"/>
  <c r="I19" i="10"/>
  <c r="G19" i="10"/>
  <c r="T19" i="10"/>
  <c r="J19" i="10"/>
  <c r="S19" i="10"/>
  <c r="R19" i="10"/>
  <c r="O19" i="10"/>
  <c r="P19" i="10"/>
  <c r="N19" i="10"/>
  <c r="F19" i="10"/>
  <c r="E18" i="6"/>
  <c r="D15" i="6"/>
  <c r="D29" i="3" s="1"/>
  <c r="E31" i="3"/>
  <c r="D17" i="5"/>
  <c r="E38" i="3"/>
  <c r="F33" i="6"/>
  <c r="F38" i="3" s="1"/>
  <c r="D25" i="3"/>
  <c r="F4" i="3"/>
  <c r="G6" i="10"/>
  <c r="H5" i="10"/>
  <c r="I2" i="10"/>
  <c r="H3" i="10"/>
  <c r="H4" i="5"/>
  <c r="E4" i="4"/>
  <c r="F12" i="6" l="1"/>
  <c r="F11" i="6"/>
  <c r="F10" i="10"/>
  <c r="E6" i="3" s="1"/>
  <c r="G14" i="10"/>
  <c r="F8" i="3" s="1"/>
  <c r="Y20" i="10"/>
  <c r="V20" i="10"/>
  <c r="W20" i="10"/>
  <c r="X20" i="10"/>
  <c r="Z20" i="10"/>
  <c r="C12" i="15"/>
  <c r="B41" i="3" s="1"/>
  <c r="H19" i="6"/>
  <c r="H16" i="6" s="1"/>
  <c r="I19" i="6" s="1"/>
  <c r="C17" i="15"/>
  <c r="B31" i="4" s="1"/>
  <c r="B13" i="5" s="1"/>
  <c r="B5" i="5"/>
  <c r="G21" i="6"/>
  <c r="H22" i="6"/>
  <c r="I25" i="6" s="1"/>
  <c r="H24" i="6"/>
  <c r="E18" i="5"/>
  <c r="F33" i="3"/>
  <c r="F32" i="3"/>
  <c r="D26" i="3"/>
  <c r="D16" i="5"/>
  <c r="E27" i="3"/>
  <c r="E6" i="6"/>
  <c r="E7" i="6" s="1"/>
  <c r="E4" i="6" s="1"/>
  <c r="F5" i="6" s="1"/>
  <c r="D3" i="6"/>
  <c r="E27" i="6" s="1"/>
  <c r="E35" i="3" s="1"/>
  <c r="K40" i="11"/>
  <c r="M40" i="11"/>
  <c r="F40" i="11"/>
  <c r="O40" i="11"/>
  <c r="T40" i="11"/>
  <c r="Y40" i="11"/>
  <c r="G40" i="11"/>
  <c r="R40" i="11"/>
  <c r="J40" i="11"/>
  <c r="N40" i="11"/>
  <c r="L40" i="11"/>
  <c r="W40" i="11"/>
  <c r="V40" i="11"/>
  <c r="Q40" i="11"/>
  <c r="P40" i="11"/>
  <c r="H40" i="11"/>
  <c r="S40" i="11"/>
  <c r="I40" i="11"/>
  <c r="U40" i="11"/>
  <c r="X40" i="11"/>
  <c r="F9" i="11"/>
  <c r="P20" i="10"/>
  <c r="U20" i="10"/>
  <c r="H20" i="10"/>
  <c r="N20" i="10"/>
  <c r="S20" i="10"/>
  <c r="L20" i="10"/>
  <c r="G20" i="10"/>
  <c r="G10" i="10" s="1"/>
  <c r="F6" i="3" s="1"/>
  <c r="I20" i="10"/>
  <c r="T20" i="10"/>
  <c r="O20" i="10"/>
  <c r="J20" i="10"/>
  <c r="R20" i="10"/>
  <c r="Q20" i="10"/>
  <c r="K20" i="10"/>
  <c r="M20" i="10"/>
  <c r="E30" i="3"/>
  <c r="E17" i="6"/>
  <c r="G33" i="6"/>
  <c r="G38" i="3" s="1"/>
  <c r="D15" i="5"/>
  <c r="D40" i="6"/>
  <c r="I5" i="10"/>
  <c r="J2" i="10"/>
  <c r="I3" i="10"/>
  <c r="F4" i="4"/>
  <c r="I4" i="5"/>
  <c r="G4" i="3"/>
  <c r="H6" i="10"/>
  <c r="F13" i="6" l="1"/>
  <c r="F10" i="6" s="1"/>
  <c r="G11" i="6" s="1"/>
  <c r="B29" i="4"/>
  <c r="B14" i="5" s="1"/>
  <c r="B10" i="5" s="1"/>
  <c r="H14" i="10"/>
  <c r="G8" i="3" s="1"/>
  <c r="AA21" i="10"/>
  <c r="W21" i="10"/>
  <c r="Y21" i="10"/>
  <c r="Z21" i="10"/>
  <c r="X21" i="10"/>
  <c r="H21" i="6"/>
  <c r="I22" i="6"/>
  <c r="J25" i="6" s="1"/>
  <c r="I24" i="6"/>
  <c r="H23" i="6"/>
  <c r="G34" i="3"/>
  <c r="F18" i="5"/>
  <c r="D23" i="3"/>
  <c r="O41" i="11"/>
  <c r="V41" i="11"/>
  <c r="N41" i="11"/>
  <c r="P41" i="11"/>
  <c r="K41" i="11"/>
  <c r="W41" i="11"/>
  <c r="I41" i="11"/>
  <c r="J41" i="11"/>
  <c r="Q41" i="11"/>
  <c r="R41" i="11"/>
  <c r="M41" i="11"/>
  <c r="Z41" i="11"/>
  <c r="H41" i="11"/>
  <c r="T41" i="11"/>
  <c r="Y41" i="11"/>
  <c r="G41" i="11"/>
  <c r="L41" i="11"/>
  <c r="S41" i="11"/>
  <c r="X41" i="11"/>
  <c r="U41" i="11"/>
  <c r="G9" i="11"/>
  <c r="T21" i="10"/>
  <c r="I21" i="10"/>
  <c r="J21" i="10"/>
  <c r="U21" i="10"/>
  <c r="K21" i="10"/>
  <c r="R21" i="10"/>
  <c r="M21" i="10"/>
  <c r="V21" i="10"/>
  <c r="N21" i="10"/>
  <c r="H21" i="10"/>
  <c r="H10" i="10" s="1"/>
  <c r="G6" i="3" s="1"/>
  <c r="L21" i="10"/>
  <c r="P21" i="10"/>
  <c r="S21" i="10"/>
  <c r="Q21" i="10"/>
  <c r="O21" i="10"/>
  <c r="H33" i="6"/>
  <c r="H38" i="3" s="1"/>
  <c r="E15" i="6"/>
  <c r="F18" i="6"/>
  <c r="E17" i="5"/>
  <c r="E24" i="3"/>
  <c r="E41" i="6"/>
  <c r="E20" i="4" s="1"/>
  <c r="I6" i="10"/>
  <c r="H4" i="3"/>
  <c r="J4" i="5"/>
  <c r="G4" i="4"/>
  <c r="J5" i="10"/>
  <c r="K2" i="10"/>
  <c r="J3" i="10"/>
  <c r="G12" i="6" l="1"/>
  <c r="G13" i="6" s="1"/>
  <c r="G10" i="6" s="1"/>
  <c r="H11" i="6" s="1"/>
  <c r="B32" i="4"/>
  <c r="I14" i="10"/>
  <c r="H8" i="3" s="1"/>
  <c r="AA22" i="10"/>
  <c r="X22" i="10"/>
  <c r="Z22" i="10"/>
  <c r="Y22" i="10"/>
  <c r="AB22" i="10"/>
  <c r="I21" i="6"/>
  <c r="I23" i="6"/>
  <c r="J24" i="6"/>
  <c r="J22" i="6"/>
  <c r="G33" i="3"/>
  <c r="E28" i="3"/>
  <c r="E9" i="6"/>
  <c r="P42" i="11"/>
  <c r="T42" i="11"/>
  <c r="H42" i="11"/>
  <c r="W42" i="11"/>
  <c r="Y42" i="11"/>
  <c r="V42" i="11"/>
  <c r="K42" i="11"/>
  <c r="X42" i="11"/>
  <c r="O42" i="11"/>
  <c r="L42" i="11"/>
  <c r="AA42" i="11"/>
  <c r="M42" i="11"/>
  <c r="I42" i="11"/>
  <c r="Q42" i="11"/>
  <c r="U42" i="11"/>
  <c r="R42" i="11"/>
  <c r="S42" i="11"/>
  <c r="J42" i="11"/>
  <c r="Z42" i="11"/>
  <c r="N42" i="11"/>
  <c r="H9" i="11"/>
  <c r="W22" i="10"/>
  <c r="P22" i="10"/>
  <c r="O22" i="10"/>
  <c r="N22" i="10"/>
  <c r="V22" i="10"/>
  <c r="J22" i="10"/>
  <c r="T22" i="10"/>
  <c r="R22" i="10"/>
  <c r="U22" i="10"/>
  <c r="M22" i="10"/>
  <c r="I22" i="10"/>
  <c r="I10" i="10" s="1"/>
  <c r="H6" i="3" s="1"/>
  <c r="L22" i="10"/>
  <c r="Q22" i="10"/>
  <c r="S22" i="10"/>
  <c r="K22" i="10"/>
  <c r="I33" i="6"/>
  <c r="I38" i="3" s="1"/>
  <c r="E25" i="3"/>
  <c r="F17" i="6"/>
  <c r="F30" i="3"/>
  <c r="E29" i="3"/>
  <c r="F31" i="3"/>
  <c r="F15" i="6"/>
  <c r="H4" i="4"/>
  <c r="K4" i="5"/>
  <c r="L2" i="10"/>
  <c r="K5" i="10"/>
  <c r="K3" i="10"/>
  <c r="I4" i="3"/>
  <c r="J6" i="10"/>
  <c r="B33" i="4" l="1"/>
  <c r="B30" i="5"/>
  <c r="H12" i="6"/>
  <c r="H13" i="6" s="1"/>
  <c r="H10" i="6" s="1"/>
  <c r="J14" i="10"/>
  <c r="I8" i="3" s="1"/>
  <c r="AA23" i="10"/>
  <c r="Y23" i="10"/>
  <c r="Z23" i="10"/>
  <c r="AB23" i="10"/>
  <c r="J21" i="6"/>
  <c r="K25" i="6"/>
  <c r="J23" i="6"/>
  <c r="K24" i="6"/>
  <c r="K22" i="6"/>
  <c r="G32" i="3"/>
  <c r="H34" i="3"/>
  <c r="G18" i="5"/>
  <c r="E26" i="3"/>
  <c r="E16" i="5"/>
  <c r="F27" i="3"/>
  <c r="F6" i="6"/>
  <c r="F7" i="6" s="1"/>
  <c r="F4" i="6" s="1"/>
  <c r="G5" i="6" s="1"/>
  <c r="E3" i="6"/>
  <c r="F27" i="6" s="1"/>
  <c r="F35" i="3" s="1"/>
  <c r="AB43" i="11"/>
  <c r="U43" i="11"/>
  <c r="N43" i="11"/>
  <c r="Z43" i="11"/>
  <c r="S43" i="11"/>
  <c r="O43" i="11"/>
  <c r="T43" i="11"/>
  <c r="L43" i="11"/>
  <c r="J43" i="11"/>
  <c r="P43" i="11"/>
  <c r="AA43" i="11"/>
  <c r="Y43" i="11"/>
  <c r="X43" i="11"/>
  <c r="I43" i="11"/>
  <c r="W43" i="11"/>
  <c r="V43" i="11"/>
  <c r="K43" i="11"/>
  <c r="R43" i="11"/>
  <c r="Q43" i="11"/>
  <c r="M43" i="11"/>
  <c r="I9" i="11"/>
  <c r="R23" i="10"/>
  <c r="V23" i="10"/>
  <c r="N23" i="10"/>
  <c r="X23" i="10"/>
  <c r="U23" i="10"/>
  <c r="P23" i="10"/>
  <c r="Q23" i="10"/>
  <c r="K23" i="10"/>
  <c r="T23" i="10"/>
  <c r="J23" i="10"/>
  <c r="J10" i="10" s="1"/>
  <c r="I6" i="3" s="1"/>
  <c r="O23" i="10"/>
  <c r="M23" i="10"/>
  <c r="S23" i="10"/>
  <c r="L23" i="10"/>
  <c r="W23" i="10"/>
  <c r="E40" i="6"/>
  <c r="E15" i="5"/>
  <c r="J33" i="6"/>
  <c r="F29" i="3"/>
  <c r="F17" i="5"/>
  <c r="G18" i="6"/>
  <c r="G31" i="3"/>
  <c r="L5" i="10"/>
  <c r="M2" i="10"/>
  <c r="L3" i="10"/>
  <c r="J4" i="3"/>
  <c r="K6" i="10"/>
  <c r="I4" i="4"/>
  <c r="L4" i="5"/>
  <c r="I12" i="6" l="1"/>
  <c r="I11" i="6"/>
  <c r="K14" i="10"/>
  <c r="J8" i="3" s="1"/>
  <c r="Z24" i="10"/>
  <c r="AA24" i="10"/>
  <c r="AB24" i="10"/>
  <c r="K21" i="6"/>
  <c r="L25" i="6"/>
  <c r="K23" i="6"/>
  <c r="L24" i="6"/>
  <c r="L22" i="6"/>
  <c r="H32" i="3"/>
  <c r="H33" i="3"/>
  <c r="E23" i="3"/>
  <c r="T44" i="11"/>
  <c r="AB44" i="11"/>
  <c r="W44" i="11"/>
  <c r="N44" i="11"/>
  <c r="Y44" i="11"/>
  <c r="O44" i="11"/>
  <c r="Z44" i="11"/>
  <c r="U44" i="11"/>
  <c r="V44" i="11"/>
  <c r="R44" i="11"/>
  <c r="X44" i="11"/>
  <c r="K44" i="11"/>
  <c r="AA44" i="11"/>
  <c r="S44" i="11"/>
  <c r="J44" i="11"/>
  <c r="Q44" i="11"/>
  <c r="P44" i="11"/>
  <c r="M44" i="11"/>
  <c r="L44" i="11"/>
  <c r="J9" i="11"/>
  <c r="W45" i="11" s="1"/>
  <c r="M24" i="10"/>
  <c r="S24" i="10"/>
  <c r="U24" i="10"/>
  <c r="T24" i="10"/>
  <c r="K24" i="10"/>
  <c r="K10" i="10" s="1"/>
  <c r="J6" i="3" s="1"/>
  <c r="P24" i="10"/>
  <c r="W24" i="10"/>
  <c r="N24" i="10"/>
  <c r="R24" i="10"/>
  <c r="Y24" i="10"/>
  <c r="X24" i="10"/>
  <c r="V24" i="10"/>
  <c r="L24" i="10"/>
  <c r="Q24" i="10"/>
  <c r="O24" i="10"/>
  <c r="K33" i="6"/>
  <c r="J38" i="3"/>
  <c r="F41" i="6"/>
  <c r="F20" i="4" s="1"/>
  <c r="F24" i="3"/>
  <c r="G17" i="6"/>
  <c r="G30" i="3"/>
  <c r="M5" i="10"/>
  <c r="N2" i="10"/>
  <c r="M3" i="10"/>
  <c r="J4" i="4"/>
  <c r="K4" i="3"/>
  <c r="L6" i="10"/>
  <c r="M4" i="5"/>
  <c r="I13" i="6" l="1"/>
  <c r="I10" i="6" s="1"/>
  <c r="J11" i="6" s="1"/>
  <c r="L14" i="10"/>
  <c r="K8" i="3" s="1"/>
  <c r="AB25" i="10"/>
  <c r="AA25" i="10"/>
  <c r="L21" i="6"/>
  <c r="M25" i="6"/>
  <c r="M22" i="6"/>
  <c r="M24" i="6"/>
  <c r="L23" i="6"/>
  <c r="I34" i="3"/>
  <c r="G17" i="5"/>
  <c r="I16" i="6"/>
  <c r="J19" i="6" s="1"/>
  <c r="H18" i="5"/>
  <c r="F28" i="3"/>
  <c r="F9" i="6"/>
  <c r="M45" i="11"/>
  <c r="Q45" i="11"/>
  <c r="Y45" i="11"/>
  <c r="L45" i="11"/>
  <c r="K9" i="11"/>
  <c r="S45" i="11"/>
  <c r="X45" i="11"/>
  <c r="P45" i="11"/>
  <c r="AB45" i="11"/>
  <c r="T45" i="11"/>
  <c r="V45" i="11"/>
  <c r="Z45" i="11"/>
  <c r="U45" i="11"/>
  <c r="R45" i="11"/>
  <c r="AA45" i="11"/>
  <c r="O45" i="11"/>
  <c r="K45" i="11"/>
  <c r="N45" i="11"/>
  <c r="R25" i="10"/>
  <c r="X25" i="10"/>
  <c r="L25" i="10"/>
  <c r="L10" i="10" s="1"/>
  <c r="K6" i="3" s="1"/>
  <c r="M25" i="10"/>
  <c r="W25" i="10"/>
  <c r="U25" i="10"/>
  <c r="S25" i="10"/>
  <c r="Z25" i="10"/>
  <c r="V25" i="10"/>
  <c r="Q25" i="10"/>
  <c r="T25" i="10"/>
  <c r="O25" i="10"/>
  <c r="Y25" i="10"/>
  <c r="N25" i="10"/>
  <c r="P25" i="10"/>
  <c r="F25" i="3"/>
  <c r="G15" i="6"/>
  <c r="G29" i="3" s="1"/>
  <c r="H18" i="6"/>
  <c r="H30" i="3" s="1"/>
  <c r="L33" i="6"/>
  <c r="L38" i="3" s="1"/>
  <c r="K38" i="3"/>
  <c r="N4" i="5"/>
  <c r="M6" i="10"/>
  <c r="L4" i="3"/>
  <c r="N5" i="10"/>
  <c r="O2" i="10"/>
  <c r="N3" i="10"/>
  <c r="K4" i="4"/>
  <c r="J12" i="6" l="1"/>
  <c r="J13" i="6" s="1"/>
  <c r="J10" i="6" s="1"/>
  <c r="M14" i="10"/>
  <c r="L8" i="3" s="1"/>
  <c r="AB26" i="10"/>
  <c r="M21" i="6"/>
  <c r="N25" i="6"/>
  <c r="M23" i="6"/>
  <c r="N24" i="6"/>
  <c r="N22" i="6"/>
  <c r="I33" i="3"/>
  <c r="I32" i="3"/>
  <c r="J34" i="3"/>
  <c r="I18" i="5"/>
  <c r="F26" i="3"/>
  <c r="F16" i="5"/>
  <c r="G27" i="3"/>
  <c r="G6" i="6"/>
  <c r="G7" i="6" s="1"/>
  <c r="G4" i="6" s="1"/>
  <c r="H5" i="6" s="1"/>
  <c r="F3" i="6"/>
  <c r="X46" i="11"/>
  <c r="M46" i="11"/>
  <c r="AA46" i="11"/>
  <c r="O46" i="11"/>
  <c r="Q46" i="11"/>
  <c r="Z46" i="11"/>
  <c r="L46" i="11"/>
  <c r="W46" i="11"/>
  <c r="V46" i="11"/>
  <c r="AB46" i="11"/>
  <c r="U46" i="11"/>
  <c r="P46" i="11"/>
  <c r="S46" i="11"/>
  <c r="Y46" i="11"/>
  <c r="R46" i="11"/>
  <c r="T46" i="11"/>
  <c r="N46" i="11"/>
  <c r="L9" i="11"/>
  <c r="Y26" i="10"/>
  <c r="O26" i="10"/>
  <c r="T26" i="10"/>
  <c r="U26" i="10"/>
  <c r="AA26" i="10"/>
  <c r="P26" i="10"/>
  <c r="Z26" i="10"/>
  <c r="N26" i="10"/>
  <c r="W26" i="10"/>
  <c r="R26" i="10"/>
  <c r="Q26" i="10"/>
  <c r="X26" i="10"/>
  <c r="V26" i="10"/>
  <c r="S26" i="10"/>
  <c r="M26" i="10"/>
  <c r="M10" i="10" s="1"/>
  <c r="L6" i="3" s="1"/>
  <c r="H31" i="3"/>
  <c r="F15" i="5"/>
  <c r="F40" i="6"/>
  <c r="H17" i="6"/>
  <c r="M33" i="6"/>
  <c r="M38" i="3" s="1"/>
  <c r="I18" i="6"/>
  <c r="H17" i="5"/>
  <c r="H15" i="6"/>
  <c r="L4" i="4"/>
  <c r="O4" i="5"/>
  <c r="P2" i="10"/>
  <c r="O3" i="10"/>
  <c r="O5" i="10"/>
  <c r="M4" i="3"/>
  <c r="N6" i="10"/>
  <c r="N14" i="10" s="1"/>
  <c r="M8" i="3" s="1"/>
  <c r="K11" i="6" l="1"/>
  <c r="K12" i="6"/>
  <c r="N21" i="6"/>
  <c r="O25" i="6"/>
  <c r="O22" i="6"/>
  <c r="O24" i="6"/>
  <c r="N23" i="6"/>
  <c r="J33" i="3"/>
  <c r="F23" i="3"/>
  <c r="G27" i="6"/>
  <c r="G35" i="3" s="1"/>
  <c r="S47" i="11"/>
  <c r="T47" i="11"/>
  <c r="X47" i="11"/>
  <c r="AB47" i="11"/>
  <c r="Z47" i="11"/>
  <c r="N47" i="11"/>
  <c r="Q47" i="11"/>
  <c r="O47" i="11"/>
  <c r="W47" i="11"/>
  <c r="M47" i="11"/>
  <c r="P47" i="11"/>
  <c r="M9" i="11"/>
  <c r="Y47" i="11"/>
  <c r="V47" i="11"/>
  <c r="AA47" i="11"/>
  <c r="R47" i="11"/>
  <c r="U47" i="11"/>
  <c r="X27" i="10"/>
  <c r="Q27" i="10"/>
  <c r="Z27" i="10"/>
  <c r="R27" i="10"/>
  <c r="T27" i="10"/>
  <c r="O27" i="10"/>
  <c r="U27" i="10"/>
  <c r="AA27" i="10"/>
  <c r="N27" i="10"/>
  <c r="N10" i="10" s="1"/>
  <c r="M6" i="3" s="1"/>
  <c r="Y27" i="10"/>
  <c r="W27" i="10"/>
  <c r="V27" i="10"/>
  <c r="S27" i="10"/>
  <c r="AB27" i="10"/>
  <c r="P27" i="10"/>
  <c r="G25" i="3"/>
  <c r="G41" i="6"/>
  <c r="G20" i="4" s="1"/>
  <c r="G24" i="3"/>
  <c r="N33" i="6"/>
  <c r="N38" i="3" s="1"/>
  <c r="I31" i="3"/>
  <c r="I30" i="3"/>
  <c r="I17" i="6"/>
  <c r="H29" i="3"/>
  <c r="P3" i="10"/>
  <c r="Q2" i="10"/>
  <c r="P5" i="10"/>
  <c r="P4" i="5"/>
  <c r="M4" i="4"/>
  <c r="O6" i="10"/>
  <c r="O14" i="10" s="1"/>
  <c r="N8" i="3" s="1"/>
  <c r="N4" i="3"/>
  <c r="K13" i="6" l="1"/>
  <c r="K10" i="6" s="1"/>
  <c r="L11" i="6" s="1"/>
  <c r="O21" i="6"/>
  <c r="P25" i="6"/>
  <c r="O23" i="6"/>
  <c r="P24" i="6"/>
  <c r="P22" i="6"/>
  <c r="I15" i="6"/>
  <c r="I29" i="3" s="1"/>
  <c r="J32" i="3"/>
  <c r="J18" i="5"/>
  <c r="K34" i="3"/>
  <c r="L12" i="6"/>
  <c r="G28" i="3"/>
  <c r="G9" i="6"/>
  <c r="N48" i="11"/>
  <c r="Z48" i="11"/>
  <c r="O48" i="11"/>
  <c r="V48" i="11"/>
  <c r="AB48" i="11"/>
  <c r="Y48" i="11"/>
  <c r="AA48" i="11"/>
  <c r="T48" i="11"/>
  <c r="R48" i="11"/>
  <c r="Q48" i="11"/>
  <c r="P48" i="11"/>
  <c r="U48" i="11"/>
  <c r="W48" i="11"/>
  <c r="S48" i="11"/>
  <c r="X48" i="11"/>
  <c r="N9" i="11"/>
  <c r="V49" i="11" s="1"/>
  <c r="AB28" i="10"/>
  <c r="X28" i="10"/>
  <c r="V28" i="10"/>
  <c r="AA28" i="10"/>
  <c r="S28" i="10"/>
  <c r="P28" i="10"/>
  <c r="T28" i="10"/>
  <c r="W28" i="10"/>
  <c r="Q28" i="10"/>
  <c r="U28" i="10"/>
  <c r="Z28" i="10"/>
  <c r="Y28" i="10"/>
  <c r="R28" i="10"/>
  <c r="O28" i="10"/>
  <c r="O10" i="10" s="1"/>
  <c r="N6" i="3" s="1"/>
  <c r="O33" i="6"/>
  <c r="O38" i="3" s="1"/>
  <c r="J18" i="6"/>
  <c r="I17" i="5"/>
  <c r="N4" i="4"/>
  <c r="O4" i="3"/>
  <c r="P6" i="10"/>
  <c r="P14" i="10" s="1"/>
  <c r="O8" i="3" s="1"/>
  <c r="Q5" i="10"/>
  <c r="Q3" i="10"/>
  <c r="R2" i="10"/>
  <c r="Q4" i="5"/>
  <c r="P21" i="6" l="1"/>
  <c r="Q25" i="6"/>
  <c r="Q22" i="6"/>
  <c r="Q24" i="6"/>
  <c r="P23" i="6"/>
  <c r="J31" i="3"/>
  <c r="J16" i="6"/>
  <c r="K19" i="6" s="1"/>
  <c r="K32" i="3"/>
  <c r="K33" i="3"/>
  <c r="L34" i="3"/>
  <c r="K18" i="5"/>
  <c r="L13" i="6"/>
  <c r="L10" i="6" s="1"/>
  <c r="G26" i="3"/>
  <c r="G16" i="5"/>
  <c r="H27" i="3"/>
  <c r="G3" i="6"/>
  <c r="H27" i="6" s="1"/>
  <c r="H35" i="3" s="1"/>
  <c r="H6" i="6"/>
  <c r="H24" i="3" s="1"/>
  <c r="P49" i="11"/>
  <c r="W49" i="11"/>
  <c r="T49" i="11"/>
  <c r="O9" i="11"/>
  <c r="U49" i="11"/>
  <c r="AB49" i="11"/>
  <c r="O49" i="11"/>
  <c r="Q49" i="11"/>
  <c r="AA49" i="11"/>
  <c r="S49" i="11"/>
  <c r="Z49" i="11"/>
  <c r="X49" i="11"/>
  <c r="R49" i="11"/>
  <c r="Y49" i="11"/>
  <c r="R29" i="10"/>
  <c r="AA29" i="10"/>
  <c r="Y29" i="10"/>
  <c r="X29" i="10"/>
  <c r="Z29" i="10"/>
  <c r="U29" i="10"/>
  <c r="P29" i="10"/>
  <c r="P10" i="10" s="1"/>
  <c r="O6" i="3" s="1"/>
  <c r="W29" i="10"/>
  <c r="Q29" i="10"/>
  <c r="V29" i="10"/>
  <c r="T29" i="10"/>
  <c r="S29" i="10"/>
  <c r="AB29" i="10"/>
  <c r="G40" i="6"/>
  <c r="G15" i="5"/>
  <c r="P33" i="6"/>
  <c r="Q33" i="6" s="1"/>
  <c r="J17" i="6"/>
  <c r="J30" i="3"/>
  <c r="S2" i="10"/>
  <c r="R3" i="10"/>
  <c r="R5" i="10"/>
  <c r="O4" i="4"/>
  <c r="R4" i="5"/>
  <c r="Q6" i="10"/>
  <c r="Q14" i="10" s="1"/>
  <c r="P8" i="3" s="1"/>
  <c r="P4" i="3"/>
  <c r="Q21" i="6" l="1"/>
  <c r="R25" i="6"/>
  <c r="M12" i="6"/>
  <c r="M11" i="6"/>
  <c r="Q23" i="6"/>
  <c r="R24" i="6"/>
  <c r="R22" i="6"/>
  <c r="J15" i="6"/>
  <c r="J29" i="3" s="1"/>
  <c r="L32" i="3"/>
  <c r="M34" i="3"/>
  <c r="L18" i="5"/>
  <c r="L33" i="3"/>
  <c r="G23" i="3"/>
  <c r="H7" i="6"/>
  <c r="H41" i="6"/>
  <c r="H20" i="4" s="1"/>
  <c r="U50" i="11"/>
  <c r="AA50" i="11"/>
  <c r="S50" i="11"/>
  <c r="T50" i="11"/>
  <c r="Q50" i="11"/>
  <c r="P50" i="11"/>
  <c r="X50" i="11"/>
  <c r="V50" i="11"/>
  <c r="Y50" i="11"/>
  <c r="Z50" i="11"/>
  <c r="W50" i="11"/>
  <c r="AB50" i="11"/>
  <c r="R50" i="11"/>
  <c r="P9" i="11"/>
  <c r="S30" i="10"/>
  <c r="Y30" i="10"/>
  <c r="X30" i="10"/>
  <c r="Q30" i="10"/>
  <c r="Q10" i="10" s="1"/>
  <c r="P6" i="3" s="1"/>
  <c r="V30" i="10"/>
  <c r="R30" i="10"/>
  <c r="AA30" i="10"/>
  <c r="Z30" i="10"/>
  <c r="W30" i="10"/>
  <c r="U30" i="10"/>
  <c r="AB30" i="10"/>
  <c r="T30" i="10"/>
  <c r="K18" i="6"/>
  <c r="K30" i="3" s="1"/>
  <c r="J17" i="5"/>
  <c r="Q38" i="3"/>
  <c r="P38" i="3"/>
  <c r="R33" i="6"/>
  <c r="R38" i="3" s="1"/>
  <c r="P4" i="4"/>
  <c r="S4" i="5"/>
  <c r="S3" i="10"/>
  <c r="S5" i="10"/>
  <c r="T2" i="10"/>
  <c r="Q4" i="3"/>
  <c r="R6" i="10"/>
  <c r="R14" i="10" s="1"/>
  <c r="Q8" i="3" s="1"/>
  <c r="M13" i="6" l="1"/>
  <c r="M10" i="6" s="1"/>
  <c r="N12" i="6" s="1"/>
  <c r="R21" i="6"/>
  <c r="S25" i="6"/>
  <c r="S34" i="3" s="1"/>
  <c r="R23" i="6"/>
  <c r="S24" i="6"/>
  <c r="R18" i="5"/>
  <c r="K16" i="6"/>
  <c r="M32" i="3"/>
  <c r="M33" i="3"/>
  <c r="N34" i="3"/>
  <c r="M18" i="5"/>
  <c r="H28" i="3"/>
  <c r="H9" i="6"/>
  <c r="H4" i="6"/>
  <c r="I5" i="6" s="1"/>
  <c r="H25" i="3"/>
  <c r="Q9" i="11"/>
  <c r="Q51" i="11"/>
  <c r="T51" i="11"/>
  <c r="V51" i="11"/>
  <c r="Z51" i="11"/>
  <c r="AB51" i="11"/>
  <c r="U51" i="11"/>
  <c r="W51" i="11"/>
  <c r="S51" i="11"/>
  <c r="X51" i="11"/>
  <c r="Y51" i="11"/>
  <c r="AA51" i="11"/>
  <c r="R51" i="11"/>
  <c r="R31" i="10"/>
  <c r="R10" i="10" s="1"/>
  <c r="Q6" i="3" s="1"/>
  <c r="U31" i="10"/>
  <c r="Z31" i="10"/>
  <c r="T31" i="10"/>
  <c r="AA31" i="10"/>
  <c r="Y31" i="10"/>
  <c r="W31" i="10"/>
  <c r="AB31" i="10"/>
  <c r="S31" i="10"/>
  <c r="V31" i="10"/>
  <c r="X31" i="10"/>
  <c r="K17" i="6"/>
  <c r="K31" i="3"/>
  <c r="S33" i="6"/>
  <c r="Q4" i="4"/>
  <c r="T4" i="5"/>
  <c r="T3" i="10"/>
  <c r="T5" i="10"/>
  <c r="U2" i="10"/>
  <c r="R4" i="3"/>
  <c r="S6" i="10"/>
  <c r="S14" i="10" s="1"/>
  <c r="R8" i="3" s="1"/>
  <c r="N11" i="6" l="1"/>
  <c r="N13" i="6" s="1"/>
  <c r="N10" i="6" s="1"/>
  <c r="O12" i="6" s="1"/>
  <c r="K17" i="5"/>
  <c r="L19" i="6"/>
  <c r="L31" i="3" s="1"/>
  <c r="K15" i="6"/>
  <c r="K29" i="3" s="1"/>
  <c r="S22" i="6"/>
  <c r="L18" i="6"/>
  <c r="L30" i="3" s="1"/>
  <c r="S23" i="6"/>
  <c r="S33" i="3"/>
  <c r="N32" i="3"/>
  <c r="N33" i="3"/>
  <c r="O34" i="3"/>
  <c r="N18" i="5"/>
  <c r="H26" i="3"/>
  <c r="H3" i="6"/>
  <c r="H23" i="3" s="1"/>
  <c r="I6" i="6"/>
  <c r="I7" i="6" s="1"/>
  <c r="I4" i="6" s="1"/>
  <c r="J5" i="6" s="1"/>
  <c r="H16" i="5"/>
  <c r="H15" i="5"/>
  <c r="H40" i="6"/>
  <c r="V52" i="11"/>
  <c r="U52" i="11"/>
  <c r="Y52" i="11"/>
  <c r="Z52" i="11"/>
  <c r="X52" i="11"/>
  <c r="S52" i="11"/>
  <c r="W52" i="11"/>
  <c r="T52" i="11"/>
  <c r="AA52" i="11"/>
  <c r="AB52" i="11"/>
  <c r="R52" i="11"/>
  <c r="R9" i="11"/>
  <c r="T32" i="10"/>
  <c r="X32" i="10"/>
  <c r="AA32" i="10"/>
  <c r="U32" i="10"/>
  <c r="Y32" i="10"/>
  <c r="Z32" i="10"/>
  <c r="W32" i="10"/>
  <c r="S32" i="10"/>
  <c r="S10" i="10" s="1"/>
  <c r="R6" i="3" s="1"/>
  <c r="V32" i="10"/>
  <c r="AB32" i="10"/>
  <c r="S38" i="3"/>
  <c r="T33" i="6"/>
  <c r="T38" i="3" s="1"/>
  <c r="U4" i="5"/>
  <c r="R4" i="4"/>
  <c r="V2" i="10"/>
  <c r="U3" i="10"/>
  <c r="U5" i="10"/>
  <c r="T6" i="10"/>
  <c r="T14" i="10" s="1"/>
  <c r="S8" i="3" s="1"/>
  <c r="S4" i="3"/>
  <c r="O11" i="6" l="1"/>
  <c r="O13" i="6" s="1"/>
  <c r="O10" i="6" s="1"/>
  <c r="P11" i="6" s="1"/>
  <c r="T25" i="6"/>
  <c r="T34" i="3" s="1"/>
  <c r="S18" i="5"/>
  <c r="T24" i="6"/>
  <c r="T33" i="3" s="1"/>
  <c r="S21" i="6"/>
  <c r="T22" i="6"/>
  <c r="L17" i="6"/>
  <c r="L16" i="6"/>
  <c r="O33" i="3"/>
  <c r="I27" i="6"/>
  <c r="I35" i="3" s="1"/>
  <c r="I27" i="3"/>
  <c r="I41" i="6"/>
  <c r="I20" i="4" s="1"/>
  <c r="I3" i="6"/>
  <c r="I25" i="3"/>
  <c r="I24" i="3"/>
  <c r="S9" i="11"/>
  <c r="V54" i="11" s="1"/>
  <c r="X53" i="11"/>
  <c r="AB53" i="11"/>
  <c r="T53" i="11"/>
  <c r="Y53" i="11"/>
  <c r="U53" i="11"/>
  <c r="AA53" i="11"/>
  <c r="W53" i="11"/>
  <c r="S53" i="11"/>
  <c r="Z53" i="11"/>
  <c r="V53" i="11"/>
  <c r="Z33" i="10"/>
  <c r="X33" i="10"/>
  <c r="U33" i="10"/>
  <c r="V33" i="10"/>
  <c r="W33" i="10"/>
  <c r="AB33" i="10"/>
  <c r="AA33" i="10"/>
  <c r="T33" i="10"/>
  <c r="T10" i="10" s="1"/>
  <c r="S6" i="3" s="1"/>
  <c r="Y33" i="10"/>
  <c r="U33" i="6"/>
  <c r="V3" i="10"/>
  <c r="W2" i="10"/>
  <c r="V5" i="10"/>
  <c r="S4" i="4"/>
  <c r="U6" i="10"/>
  <c r="U14" i="10" s="1"/>
  <c r="T8" i="3" s="1"/>
  <c r="T4" i="3"/>
  <c r="V4" i="5"/>
  <c r="P12" i="6" l="1"/>
  <c r="P13" i="6" s="1"/>
  <c r="P10" i="6" s="1"/>
  <c r="Q11" i="6" s="1"/>
  <c r="T18" i="5"/>
  <c r="U25" i="6"/>
  <c r="U34" i="3" s="1"/>
  <c r="M19" i="6"/>
  <c r="M31" i="3" s="1"/>
  <c r="L15" i="6"/>
  <c r="L29" i="3" s="1"/>
  <c r="T23" i="6"/>
  <c r="U24" i="6"/>
  <c r="T21" i="6"/>
  <c r="U22" i="6"/>
  <c r="V25" i="6" s="1"/>
  <c r="L17" i="5"/>
  <c r="M18" i="6"/>
  <c r="M30" i="3" s="1"/>
  <c r="O32" i="3"/>
  <c r="O18" i="5"/>
  <c r="P34" i="3"/>
  <c r="I28" i="3"/>
  <c r="I23" i="3"/>
  <c r="J6" i="6"/>
  <c r="I15" i="5"/>
  <c r="T9" i="11"/>
  <c r="T54" i="11"/>
  <c r="AB54" i="11"/>
  <c r="U54" i="11"/>
  <c r="W54" i="11"/>
  <c r="Y54" i="11"/>
  <c r="Z54" i="11"/>
  <c r="AA54" i="11"/>
  <c r="X54" i="11"/>
  <c r="X34" i="10"/>
  <c r="Y34" i="10"/>
  <c r="V34" i="10"/>
  <c r="AA34" i="10"/>
  <c r="AB34" i="10"/>
  <c r="Z34" i="10"/>
  <c r="U34" i="10"/>
  <c r="U10" i="10" s="1"/>
  <c r="T6" i="3" s="1"/>
  <c r="W34" i="10"/>
  <c r="U38" i="3"/>
  <c r="V33" i="6"/>
  <c r="W4" i="5"/>
  <c r="T4" i="4"/>
  <c r="U4" i="3"/>
  <c r="V6" i="10"/>
  <c r="V14" i="10" s="1"/>
  <c r="U8" i="3" s="1"/>
  <c r="X2" i="10"/>
  <c r="W5" i="10"/>
  <c r="W3" i="10"/>
  <c r="Q12" i="6" l="1"/>
  <c r="Q13" i="6" s="1"/>
  <c r="Q10" i="6" s="1"/>
  <c r="R12" i="6" s="1"/>
  <c r="M16" i="6"/>
  <c r="N19" i="6" s="1"/>
  <c r="N16" i="6" s="1"/>
  <c r="O19" i="6" s="1"/>
  <c r="U23" i="6"/>
  <c r="U21" i="6"/>
  <c r="U33" i="3"/>
  <c r="V24" i="6"/>
  <c r="V34" i="3"/>
  <c r="U18" i="5"/>
  <c r="V22" i="6"/>
  <c r="W25" i="6" s="1"/>
  <c r="M17" i="6"/>
  <c r="P32" i="3"/>
  <c r="Q34" i="3"/>
  <c r="P18" i="5"/>
  <c r="P33" i="3"/>
  <c r="I40" i="6"/>
  <c r="I9" i="6"/>
  <c r="J27" i="3"/>
  <c r="I16" i="5"/>
  <c r="J7" i="6"/>
  <c r="J25" i="3" s="1"/>
  <c r="J24" i="3"/>
  <c r="U9" i="11"/>
  <c r="AA55" i="11"/>
  <c r="AB55" i="11"/>
  <c r="Z55" i="11"/>
  <c r="U55" i="11"/>
  <c r="X55" i="11"/>
  <c r="Y55" i="11"/>
  <c r="W55" i="11"/>
  <c r="V55" i="11"/>
  <c r="AA35" i="10"/>
  <c r="X35" i="10"/>
  <c r="AB35" i="10"/>
  <c r="W35" i="10"/>
  <c r="Z35" i="10"/>
  <c r="V35" i="10"/>
  <c r="V10" i="10" s="1"/>
  <c r="U6" i="3" s="1"/>
  <c r="Y35" i="10"/>
  <c r="W33" i="6"/>
  <c r="V38" i="3"/>
  <c r="X9" i="10"/>
  <c r="W5" i="3" s="1"/>
  <c r="W6" i="10"/>
  <c r="W14" i="10" s="1"/>
  <c r="V8" i="3" s="1"/>
  <c r="V4" i="3"/>
  <c r="X3" i="10"/>
  <c r="X5" i="10"/>
  <c r="Y2" i="10"/>
  <c r="U4" i="4"/>
  <c r="X4" i="5"/>
  <c r="R11" i="6" l="1"/>
  <c r="R13" i="6" s="1"/>
  <c r="R10" i="6" s="1"/>
  <c r="S11" i="6" s="1"/>
  <c r="N18" i="6"/>
  <c r="N30" i="3" s="1"/>
  <c r="M15" i="6"/>
  <c r="M29" i="3" s="1"/>
  <c r="M17" i="5"/>
  <c r="V21" i="6"/>
  <c r="W21" i="6" s="1"/>
  <c r="X21" i="6" s="1"/>
  <c r="Y21" i="6" s="1"/>
  <c r="Z21" i="6" s="1"/>
  <c r="AA21" i="6" s="1"/>
  <c r="W24" i="6"/>
  <c r="W34" i="3"/>
  <c r="V18" i="5"/>
  <c r="V23" i="6"/>
  <c r="V33" i="3"/>
  <c r="R32" i="3"/>
  <c r="O16" i="6"/>
  <c r="P19" i="6" s="1"/>
  <c r="Q32" i="3"/>
  <c r="Q33" i="3"/>
  <c r="R34" i="3"/>
  <c r="I26" i="3"/>
  <c r="J27" i="6"/>
  <c r="J35" i="3" s="1"/>
  <c r="J28" i="3"/>
  <c r="J41" i="6"/>
  <c r="J20" i="4" s="1"/>
  <c r="J9" i="6"/>
  <c r="J4" i="6"/>
  <c r="Y56" i="11"/>
  <c r="AB56" i="11"/>
  <c r="AA56" i="11"/>
  <c r="V56" i="11"/>
  <c r="W56" i="11"/>
  <c r="Z56" i="11"/>
  <c r="X56" i="11"/>
  <c r="V9" i="11"/>
  <c r="AB57" i="11" s="1"/>
  <c r="W36" i="10"/>
  <c r="W10" i="10" s="1"/>
  <c r="V6" i="3" s="1"/>
  <c r="AB36" i="10"/>
  <c r="X36" i="10"/>
  <c r="Z36" i="10"/>
  <c r="AA36" i="10"/>
  <c r="Y36" i="10"/>
  <c r="N31" i="3"/>
  <c r="X33" i="6"/>
  <c r="W38" i="3"/>
  <c r="N17" i="5"/>
  <c r="O18" i="6"/>
  <c r="X6" i="10"/>
  <c r="X14" i="10" s="1"/>
  <c r="W8" i="3" s="1"/>
  <c r="W4" i="3"/>
  <c r="V4" i="4"/>
  <c r="Y9" i="10"/>
  <c r="X5" i="3" s="1"/>
  <c r="Y4" i="5"/>
  <c r="Z2" i="10"/>
  <c r="Y5" i="10"/>
  <c r="Y3" i="10"/>
  <c r="N17" i="6" l="1"/>
  <c r="R16" i="5"/>
  <c r="S12" i="6"/>
  <c r="S27" i="3" s="1"/>
  <c r="N15" i="6"/>
  <c r="N29" i="3" s="1"/>
  <c r="J15" i="5"/>
  <c r="K5" i="6"/>
  <c r="W33" i="3"/>
  <c r="W23" i="6"/>
  <c r="Q18" i="5"/>
  <c r="R33" i="3"/>
  <c r="J26" i="3"/>
  <c r="J3" i="6"/>
  <c r="J23" i="3" s="1"/>
  <c r="J40" i="6"/>
  <c r="J16" i="5"/>
  <c r="K27" i="3"/>
  <c r="K6" i="6"/>
  <c r="K24" i="3" s="1"/>
  <c r="Z57" i="11"/>
  <c r="X57" i="11"/>
  <c r="W9" i="11"/>
  <c r="Y57" i="11"/>
  <c r="W57" i="11"/>
  <c r="AA57" i="11"/>
  <c r="X37" i="10"/>
  <c r="X10" i="10" s="1"/>
  <c r="W6" i="3" s="1"/>
  <c r="Y37" i="10"/>
  <c r="AB37" i="10"/>
  <c r="Z37" i="10"/>
  <c r="AA37" i="10"/>
  <c r="X38" i="3"/>
  <c r="Y33" i="6"/>
  <c r="Y38" i="3" s="1"/>
  <c r="O30" i="3"/>
  <c r="O17" i="6"/>
  <c r="O31" i="3"/>
  <c r="P16" i="6"/>
  <c r="Q19" i="6" s="1"/>
  <c r="Z4" i="5"/>
  <c r="X4" i="3"/>
  <c r="Y6" i="10"/>
  <c r="Y14" i="10" s="1"/>
  <c r="X8" i="3" s="1"/>
  <c r="Z3" i="10"/>
  <c r="AA2" i="10"/>
  <c r="Z5" i="10"/>
  <c r="Z9" i="10"/>
  <c r="Y5" i="3" s="1"/>
  <c r="W4" i="4"/>
  <c r="S13" i="6" l="1"/>
  <c r="S28" i="3" s="1"/>
  <c r="S32" i="3"/>
  <c r="K7" i="6"/>
  <c r="K25" i="3" s="1"/>
  <c r="K27" i="6"/>
  <c r="K35" i="3" s="1"/>
  <c r="K41" i="6"/>
  <c r="K20" i="4" s="1"/>
  <c r="Y58" i="11"/>
  <c r="Z58" i="11"/>
  <c r="X58" i="11"/>
  <c r="X64" i="11" s="1"/>
  <c r="X10" i="11" s="1"/>
  <c r="W6" i="4" s="1"/>
  <c r="AA58" i="11"/>
  <c r="AB58" i="11"/>
  <c r="X9" i="11"/>
  <c r="Z38" i="10"/>
  <c r="AB38" i="10"/>
  <c r="AA38" i="10"/>
  <c r="Y38" i="10"/>
  <c r="Y10" i="10" s="1"/>
  <c r="X6" i="3" s="1"/>
  <c r="Z33" i="6"/>
  <c r="Z38" i="3" s="1"/>
  <c r="O15" i="6"/>
  <c r="O17" i="5"/>
  <c r="P31" i="3"/>
  <c r="P18" i="6"/>
  <c r="Z6" i="10"/>
  <c r="Z14" i="10" s="1"/>
  <c r="Y8" i="3" s="1"/>
  <c r="Y4" i="3"/>
  <c r="X4" i="4"/>
  <c r="AA9" i="10"/>
  <c r="Z5" i="3" s="1"/>
  <c r="AA5" i="10"/>
  <c r="AB2" i="10"/>
  <c r="AA3" i="10"/>
  <c r="AA4" i="5"/>
  <c r="S10" i="6" l="1"/>
  <c r="T11" i="6" s="1"/>
  <c r="U32" i="3"/>
  <c r="T32" i="3"/>
  <c r="K4" i="6"/>
  <c r="K28" i="3"/>
  <c r="K9" i="6"/>
  <c r="AB59" i="11"/>
  <c r="Z59" i="11"/>
  <c r="Y59" i="11"/>
  <c r="Y64" i="11" s="1"/>
  <c r="Y10" i="11" s="1"/>
  <c r="X6" i="4" s="1"/>
  <c r="AA59" i="11"/>
  <c r="Y9" i="11"/>
  <c r="AB39" i="10"/>
  <c r="AA39" i="10"/>
  <c r="Z39" i="10"/>
  <c r="Z10" i="10" s="1"/>
  <c r="Y6" i="3" s="1"/>
  <c r="AA33" i="6"/>
  <c r="AA38" i="3" s="1"/>
  <c r="P30" i="3"/>
  <c r="P17" i="6"/>
  <c r="O29" i="3"/>
  <c r="Y4" i="4"/>
  <c r="AB9" i="10"/>
  <c r="AA5" i="3" s="1"/>
  <c r="AB3" i="10"/>
  <c r="AB5" i="10"/>
  <c r="Z4" i="3"/>
  <c r="AA6" i="10"/>
  <c r="AA14" i="10" s="1"/>
  <c r="Z8" i="3" s="1"/>
  <c r="L5" i="6" l="1"/>
  <c r="K3" i="6"/>
  <c r="K23" i="3" s="1"/>
  <c r="S16" i="5"/>
  <c r="T12" i="6"/>
  <c r="T27" i="3" s="1"/>
  <c r="P17" i="5"/>
  <c r="K15" i="5"/>
  <c r="L6" i="6"/>
  <c r="L41" i="6" s="1"/>
  <c r="L20" i="4" s="1"/>
  <c r="K40" i="6"/>
  <c r="K26" i="3"/>
  <c r="L27" i="6"/>
  <c r="L35" i="3" s="1"/>
  <c r="L27" i="3"/>
  <c r="K16" i="5"/>
  <c r="Z60" i="11"/>
  <c r="Z64" i="11" s="1"/>
  <c r="Z10" i="11" s="1"/>
  <c r="Y6" i="4" s="1"/>
  <c r="AB60" i="11"/>
  <c r="AA60" i="11"/>
  <c r="Z9" i="11"/>
  <c r="AA40" i="10"/>
  <c r="AA10" i="10" s="1"/>
  <c r="Z6" i="3" s="1"/>
  <c r="AB40" i="10"/>
  <c r="P15" i="6"/>
  <c r="P29" i="3" s="1"/>
  <c r="Q18" i="6"/>
  <c r="Q30" i="3" s="1"/>
  <c r="Z4" i="4"/>
  <c r="AB6" i="10"/>
  <c r="AB14" i="10" s="1"/>
  <c r="AA8" i="3" s="1"/>
  <c r="AA4" i="3"/>
  <c r="T13" i="6" l="1"/>
  <c r="L24" i="3"/>
  <c r="V32" i="3"/>
  <c r="Q31" i="3"/>
  <c r="Q16" i="6"/>
  <c r="R19" i="6" s="1"/>
  <c r="L7" i="6"/>
  <c r="L4" i="6" s="1"/>
  <c r="L28" i="3"/>
  <c r="AA61" i="11"/>
  <c r="AA64" i="11" s="1"/>
  <c r="AA10" i="11" s="1"/>
  <c r="Z6" i="4" s="1"/>
  <c r="AB61" i="11"/>
  <c r="AA9" i="11"/>
  <c r="AB62" i="11" s="1"/>
  <c r="AB41" i="10"/>
  <c r="AB10" i="10" s="1"/>
  <c r="AA6" i="3" s="1"/>
  <c r="Q17" i="6"/>
  <c r="AA4" i="4"/>
  <c r="T28" i="3" l="1"/>
  <c r="T10" i="6"/>
  <c r="L3" i="6"/>
  <c r="L23" i="3" s="1"/>
  <c r="M5" i="6"/>
  <c r="L25" i="3"/>
  <c r="W32" i="3"/>
  <c r="X32" i="3"/>
  <c r="R31" i="3"/>
  <c r="L16" i="5"/>
  <c r="L9" i="6"/>
  <c r="M27" i="3"/>
  <c r="M6" i="6"/>
  <c r="L15" i="5"/>
  <c r="L40" i="6"/>
  <c r="AB64" i="11"/>
  <c r="AB10" i="11" s="1"/>
  <c r="AA6" i="4" s="1"/>
  <c r="AB9" i="11"/>
  <c r="Q17" i="5"/>
  <c r="Q15" i="6"/>
  <c r="Q29" i="3" s="1"/>
  <c r="R18" i="6"/>
  <c r="U12" i="6" l="1"/>
  <c r="U27" i="3" s="1"/>
  <c r="U11" i="6"/>
  <c r="T16" i="5"/>
  <c r="M27" i="6"/>
  <c r="M35" i="3" s="1"/>
  <c r="R16" i="6"/>
  <c r="Y32" i="3"/>
  <c r="Z32" i="3"/>
  <c r="L26" i="3"/>
  <c r="M7" i="6"/>
  <c r="M24" i="3"/>
  <c r="M41" i="6"/>
  <c r="M20" i="4" s="1"/>
  <c r="R30" i="3"/>
  <c r="R17" i="6"/>
  <c r="U13" i="6" l="1"/>
  <c r="U28" i="3" s="1"/>
  <c r="R17" i="5"/>
  <c r="S19" i="6"/>
  <c r="S31" i="3" s="1"/>
  <c r="R15" i="6"/>
  <c r="R29" i="3" s="1"/>
  <c r="S18" i="6"/>
  <c r="S30" i="3" s="1"/>
  <c r="AA32" i="3"/>
  <c r="M28" i="3"/>
  <c r="M9" i="6"/>
  <c r="M25" i="3"/>
  <c r="M4" i="6"/>
  <c r="N5" i="6" s="1"/>
  <c r="U10" i="6" l="1"/>
  <c r="V11" i="6" s="1"/>
  <c r="S16" i="6"/>
  <c r="S17" i="6"/>
  <c r="M26" i="3"/>
  <c r="M16" i="5"/>
  <c r="N27" i="3"/>
  <c r="M3" i="6"/>
  <c r="M23" i="3" s="1"/>
  <c r="M15" i="5"/>
  <c r="M40" i="6"/>
  <c r="N6" i="6"/>
  <c r="U16" i="5" l="1"/>
  <c r="V12" i="6"/>
  <c r="V27" i="3" s="1"/>
  <c r="S15" i="6"/>
  <c r="S29" i="3" s="1"/>
  <c r="T19" i="6"/>
  <c r="T31" i="3" s="1"/>
  <c r="T18" i="6"/>
  <c r="S17" i="5"/>
  <c r="N27" i="6"/>
  <c r="N35" i="3" s="1"/>
  <c r="N41" i="6"/>
  <c r="N20" i="4" s="1"/>
  <c r="N24" i="3"/>
  <c r="N7" i="6"/>
  <c r="N25" i="3" s="1"/>
  <c r="V13" i="6" l="1"/>
  <c r="V10" i="6" s="1"/>
  <c r="T16" i="6"/>
  <c r="T30" i="3"/>
  <c r="T17" i="6"/>
  <c r="N4" i="6"/>
  <c r="N3" i="6" s="1"/>
  <c r="N23" i="3" s="1"/>
  <c r="N28" i="3"/>
  <c r="N9" i="6"/>
  <c r="W11" i="6" l="1"/>
  <c r="V28" i="3"/>
  <c r="W12" i="6"/>
  <c r="W27" i="3" s="1"/>
  <c r="V16" i="5"/>
  <c r="T17" i="5"/>
  <c r="U19" i="6"/>
  <c r="U16" i="6" s="1"/>
  <c r="V19" i="6" s="1"/>
  <c r="O6" i="6"/>
  <c r="O24" i="3" s="1"/>
  <c r="O5" i="6"/>
  <c r="T15" i="6"/>
  <c r="T29" i="3" s="1"/>
  <c r="U18" i="6"/>
  <c r="U30" i="3" s="1"/>
  <c r="N26" i="3"/>
  <c r="O27" i="6"/>
  <c r="O35" i="3" s="1"/>
  <c r="N15" i="5"/>
  <c r="N16" i="5"/>
  <c r="O27" i="3"/>
  <c r="N40" i="6"/>
  <c r="W13" i="6" l="1"/>
  <c r="O7" i="6"/>
  <c r="O4" i="6" s="1"/>
  <c r="P5" i="6" s="1"/>
  <c r="U15" i="6"/>
  <c r="U29" i="3" s="1"/>
  <c r="U31" i="3"/>
  <c r="V16" i="6"/>
  <c r="U17" i="5"/>
  <c r="U17" i="6"/>
  <c r="V18" i="6"/>
  <c r="V17" i="6" s="1"/>
  <c r="O41" i="6"/>
  <c r="O20" i="4" s="1"/>
  <c r="V31" i="3"/>
  <c r="W28" i="3" l="1"/>
  <c r="W10" i="6"/>
  <c r="O25" i="3"/>
  <c r="W19" i="6"/>
  <c r="W31" i="3" s="1"/>
  <c r="V30" i="3"/>
  <c r="O28" i="3"/>
  <c r="O9" i="6"/>
  <c r="O15" i="5"/>
  <c r="O3" i="6"/>
  <c r="O23" i="3" s="1"/>
  <c r="P6" i="6"/>
  <c r="V17" i="5"/>
  <c r="V15" i="6"/>
  <c r="W18" i="6"/>
  <c r="X11" i="6" l="1"/>
  <c r="W16" i="5"/>
  <c r="X12" i="6"/>
  <c r="X27" i="3" s="1"/>
  <c r="W16" i="6"/>
  <c r="X18" i="6" s="1"/>
  <c r="O40" i="6"/>
  <c r="O26" i="3"/>
  <c r="O16" i="5"/>
  <c r="P27" i="3"/>
  <c r="P27" i="6"/>
  <c r="P35" i="3" s="1"/>
  <c r="P7" i="6"/>
  <c r="P25" i="3" s="1"/>
  <c r="P24" i="3"/>
  <c r="W17" i="6"/>
  <c r="W30" i="3"/>
  <c r="V29" i="3"/>
  <c r="X13" i="6" l="1"/>
  <c r="X28" i="3" s="1"/>
  <c r="X10" i="6"/>
  <c r="Y11" i="6" s="1"/>
  <c r="W15" i="6"/>
  <c r="X15" i="6" s="1"/>
  <c r="X19" i="6"/>
  <c r="X31" i="3" s="1"/>
  <c r="W17" i="5"/>
  <c r="X30" i="3"/>
  <c r="P4" i="6"/>
  <c r="P28" i="3"/>
  <c r="P41" i="6"/>
  <c r="P20" i="4" s="1"/>
  <c r="X16" i="5" l="1"/>
  <c r="Y12" i="6"/>
  <c r="Y27" i="3" s="1"/>
  <c r="W29" i="3"/>
  <c r="X17" i="6"/>
  <c r="P3" i="6"/>
  <c r="P23" i="3" s="1"/>
  <c r="Q5" i="6"/>
  <c r="P15" i="5"/>
  <c r="Q6" i="6"/>
  <c r="Q24" i="3" s="1"/>
  <c r="P40" i="6"/>
  <c r="P9" i="6"/>
  <c r="Q27" i="3"/>
  <c r="P16" i="5"/>
  <c r="X29" i="3"/>
  <c r="Y15" i="6"/>
  <c r="Y13" i="6" l="1"/>
  <c r="Y28" i="3" s="1"/>
  <c r="Q7" i="6"/>
  <c r="Q25" i="3" s="1"/>
  <c r="Q41" i="6"/>
  <c r="Q20" i="4" s="1"/>
  <c r="P26" i="3"/>
  <c r="Q27" i="6"/>
  <c r="Q35" i="3" s="1"/>
  <c r="Q4" i="6"/>
  <c r="Y29" i="3"/>
  <c r="Z15" i="6"/>
  <c r="Z29" i="3" s="1"/>
  <c r="Y10" i="6" l="1"/>
  <c r="Z11" i="6" s="1"/>
  <c r="Z13" i="6" s="1"/>
  <c r="Z28" i="3" s="1"/>
  <c r="Q3" i="6"/>
  <c r="Q23" i="3" s="1"/>
  <c r="R5" i="6"/>
  <c r="Q28" i="3"/>
  <c r="Q9" i="6"/>
  <c r="R6" i="6"/>
  <c r="Q15" i="5"/>
  <c r="AA15" i="6"/>
  <c r="AA29" i="3" s="1"/>
  <c r="Z12" i="6" l="1"/>
  <c r="Z27" i="3" s="1"/>
  <c r="Y16" i="5"/>
  <c r="R27" i="6"/>
  <c r="R35" i="3" s="1"/>
  <c r="R9" i="6"/>
  <c r="Q26" i="3"/>
  <c r="Q40" i="6"/>
  <c r="R27" i="3"/>
  <c r="Q16" i="5"/>
  <c r="R24" i="3"/>
  <c r="R7" i="6"/>
  <c r="R26" i="3" l="1"/>
  <c r="S9" i="6"/>
  <c r="R41" i="6"/>
  <c r="R20" i="4" s="1"/>
  <c r="R28" i="3"/>
  <c r="R25" i="3"/>
  <c r="R4" i="6"/>
  <c r="S5" i="6" s="1"/>
  <c r="R3" i="6" l="1"/>
  <c r="R23" i="3" s="1"/>
  <c r="S26" i="3"/>
  <c r="T9" i="6"/>
  <c r="S6" i="6"/>
  <c r="S24" i="3" s="1"/>
  <c r="R40" i="6"/>
  <c r="R15" i="5"/>
  <c r="S27" i="6" l="1"/>
  <c r="S35" i="3" s="1"/>
  <c r="T26" i="3"/>
  <c r="U9" i="6"/>
  <c r="S7" i="6"/>
  <c r="S41" i="6"/>
  <c r="S20" i="4" s="1"/>
  <c r="U26" i="3" l="1"/>
  <c r="V9" i="6"/>
  <c r="S25" i="3"/>
  <c r="S4" i="6"/>
  <c r="T5" i="6" s="1"/>
  <c r="V26" i="3" l="1"/>
  <c r="W9" i="6"/>
  <c r="S15" i="5"/>
  <c r="S3" i="6"/>
  <c r="S23" i="3" s="1"/>
  <c r="S40" i="6"/>
  <c r="T6" i="6"/>
  <c r="T24" i="3" s="1"/>
  <c r="W26" i="3" l="1"/>
  <c r="X9" i="6"/>
  <c r="T27" i="6"/>
  <c r="T35" i="3" s="1"/>
  <c r="T7" i="6"/>
  <c r="T25" i="3" s="1"/>
  <c r="T41" i="6"/>
  <c r="T20" i="4" s="1"/>
  <c r="T4" i="6" l="1"/>
  <c r="T3" i="6" s="1"/>
  <c r="T23" i="3" s="1"/>
  <c r="X26" i="3"/>
  <c r="Y9" i="6"/>
  <c r="U6" i="6" l="1"/>
  <c r="U41" i="6" s="1"/>
  <c r="U20" i="4" s="1"/>
  <c r="U5" i="6"/>
  <c r="T15" i="5"/>
  <c r="T40" i="6"/>
  <c r="U27" i="6"/>
  <c r="U35" i="3" s="1"/>
  <c r="Y26" i="3"/>
  <c r="Z9" i="6"/>
  <c r="U7" i="6" l="1"/>
  <c r="U25" i="3" s="1"/>
  <c r="U24" i="3"/>
  <c r="Z26" i="3"/>
  <c r="AA9" i="6"/>
  <c r="AA26" i="3" s="1"/>
  <c r="U4" i="6"/>
  <c r="V5" i="6" s="1"/>
  <c r="U40" i="6" l="1"/>
  <c r="U3" i="6"/>
  <c r="U23" i="3" s="1"/>
  <c r="U15" i="5"/>
  <c r="V6" i="6"/>
  <c r="V24" i="3" s="1"/>
  <c r="V27" i="6" l="1"/>
  <c r="V35" i="3" s="1"/>
  <c r="V41" i="6"/>
  <c r="V20" i="4" s="1"/>
  <c r="V7" i="6"/>
  <c r="V25" i="3" s="1"/>
  <c r="V4" i="6" l="1"/>
  <c r="W5" i="6" s="1"/>
  <c r="V3" i="6" l="1"/>
  <c r="W27" i="6" s="1"/>
  <c r="W35" i="3" s="1"/>
  <c r="V40" i="6"/>
  <c r="W6" i="6"/>
  <c r="W7" i="6" s="1"/>
  <c r="V15" i="5"/>
  <c r="V23" i="3" l="1"/>
  <c r="W41" i="6"/>
  <c r="W20" i="4" s="1"/>
  <c r="W24" i="3"/>
  <c r="W25" i="3"/>
  <c r="W4" i="6"/>
  <c r="W3" i="6" l="1"/>
  <c r="W23" i="3" s="1"/>
  <c r="X5" i="6"/>
  <c r="X7" i="6" s="1"/>
  <c r="X25" i="3" s="1"/>
  <c r="X6" i="6"/>
  <c r="W15" i="5"/>
  <c r="W40" i="6"/>
  <c r="X27" i="6" l="1"/>
  <c r="X35" i="3" s="1"/>
  <c r="X24" i="3"/>
  <c r="X41" i="6"/>
  <c r="X20" i="4" s="1"/>
  <c r="X4" i="6"/>
  <c r="X3" i="6" l="1"/>
  <c r="Y27" i="6" s="1"/>
  <c r="Y35" i="3" s="1"/>
  <c r="Y5" i="6"/>
  <c r="C9" i="10"/>
  <c r="D9" i="10" s="1"/>
  <c r="C5" i="3" s="1"/>
  <c r="Y6" i="6"/>
  <c r="X15" i="5"/>
  <c r="X40" i="6"/>
  <c r="X23" i="3" l="1"/>
  <c r="Y24" i="3"/>
  <c r="Y41" i="6"/>
  <c r="Y20" i="4" s="1"/>
  <c r="Y7" i="6"/>
  <c r="Y5" i="4"/>
  <c r="Y8" i="4" s="1"/>
  <c r="X5" i="4"/>
  <c r="X8" i="4" s="1"/>
  <c r="W5" i="4"/>
  <c r="W8" i="4" s="1"/>
  <c r="AA5" i="4"/>
  <c r="AA8" i="4" s="1"/>
  <c r="Z5" i="4"/>
  <c r="Z8" i="4" s="1"/>
  <c r="C13" i="10"/>
  <c r="B7" i="3" s="1"/>
  <c r="C9" i="11" s="1"/>
  <c r="C8" i="11" s="1"/>
  <c r="Y25" i="3" l="1"/>
  <c r="Y4" i="6"/>
  <c r="E9" i="10"/>
  <c r="D5" i="3" s="1"/>
  <c r="Y3" i="6" l="1"/>
  <c r="Y23" i="3" s="1"/>
  <c r="Z5" i="6"/>
  <c r="Z7" i="6" s="1"/>
  <c r="Z25" i="3" s="1"/>
  <c r="D38" i="11"/>
  <c r="D64" i="11" s="1"/>
  <c r="B45" i="3"/>
  <c r="Y15" i="5"/>
  <c r="Z6" i="6"/>
  <c r="Y40" i="6"/>
  <c r="F38" i="11"/>
  <c r="F64" i="11" s="1"/>
  <c r="F10" i="11" s="1"/>
  <c r="E6" i="4" s="1"/>
  <c r="M38" i="11"/>
  <c r="M64" i="11" s="1"/>
  <c r="M10" i="11" s="1"/>
  <c r="L6" i="4" s="1"/>
  <c r="H38" i="11"/>
  <c r="H64" i="11" s="1"/>
  <c r="H10" i="11" s="1"/>
  <c r="G6" i="4" s="1"/>
  <c r="J38" i="11"/>
  <c r="J64" i="11" s="1"/>
  <c r="J10" i="11" s="1"/>
  <c r="I6" i="4" s="1"/>
  <c r="O38" i="11"/>
  <c r="O64" i="11" s="1"/>
  <c r="O10" i="11" s="1"/>
  <c r="N6" i="4" s="1"/>
  <c r="K38" i="11"/>
  <c r="K64" i="11" s="1"/>
  <c r="K10" i="11" s="1"/>
  <c r="J6" i="4" s="1"/>
  <c r="N38" i="11"/>
  <c r="N64" i="11" s="1"/>
  <c r="N10" i="11" s="1"/>
  <c r="M6" i="4" s="1"/>
  <c r="I38" i="11"/>
  <c r="I64" i="11" s="1"/>
  <c r="I10" i="11" s="1"/>
  <c r="H6" i="4" s="1"/>
  <c r="R38" i="11"/>
  <c r="R64" i="11" s="1"/>
  <c r="R10" i="11" s="1"/>
  <c r="Q6" i="4" s="1"/>
  <c r="P38" i="11"/>
  <c r="P64" i="11" s="1"/>
  <c r="P10" i="11" s="1"/>
  <c r="O6" i="4" s="1"/>
  <c r="T38" i="11"/>
  <c r="T64" i="11" s="1"/>
  <c r="T10" i="11" s="1"/>
  <c r="S6" i="4" s="1"/>
  <c r="U38" i="11"/>
  <c r="U64" i="11" s="1"/>
  <c r="U10" i="11" s="1"/>
  <c r="T6" i="4" s="1"/>
  <c r="W38" i="11"/>
  <c r="W64" i="11" s="1"/>
  <c r="W10" i="11" s="1"/>
  <c r="V6" i="4" s="1"/>
  <c r="L38" i="11"/>
  <c r="L64" i="11" s="1"/>
  <c r="L10" i="11" s="1"/>
  <c r="K6" i="4" s="1"/>
  <c r="E38" i="11"/>
  <c r="E64" i="11" s="1"/>
  <c r="E10" i="11" s="1"/>
  <c r="D6" i="4" s="1"/>
  <c r="Q38" i="11"/>
  <c r="Q64" i="11" s="1"/>
  <c r="Q10" i="11" s="1"/>
  <c r="P6" i="4" s="1"/>
  <c r="G38" i="11"/>
  <c r="G64" i="11" s="1"/>
  <c r="G10" i="11" s="1"/>
  <c r="F6" i="4" s="1"/>
  <c r="S38" i="11"/>
  <c r="S64" i="11" s="1"/>
  <c r="S10" i="11" s="1"/>
  <c r="R6" i="4" s="1"/>
  <c r="V38" i="11"/>
  <c r="V64" i="11" s="1"/>
  <c r="V10" i="11" s="1"/>
  <c r="U6" i="4" s="1"/>
  <c r="C5" i="4"/>
  <c r="F9" i="10"/>
  <c r="E5" i="3" s="1"/>
  <c r="D10" i="11" l="1"/>
  <c r="D8" i="11" s="1"/>
  <c r="Z27" i="6"/>
  <c r="Z35" i="3" s="1"/>
  <c r="B46" i="3"/>
  <c r="Z24" i="3"/>
  <c r="Z41" i="6"/>
  <c r="Z20" i="4" s="1"/>
  <c r="Z4" i="6"/>
  <c r="AA5" i="6" s="1"/>
  <c r="B21" i="5"/>
  <c r="B22" i="5" s="1"/>
  <c r="G9" i="10"/>
  <c r="F5" i="3" s="1"/>
  <c r="D5" i="4"/>
  <c r="D8" i="4" s="1"/>
  <c r="B6" i="5" l="1"/>
  <c r="B7" i="5" s="1"/>
  <c r="B29" i="5" s="1"/>
  <c r="C43" i="3"/>
  <c r="C21" i="4" s="1"/>
  <c r="C22" i="4" s="1"/>
  <c r="C6" i="4"/>
  <c r="C8" i="4" s="1"/>
  <c r="E8" i="11"/>
  <c r="AA7" i="6"/>
  <c r="AA25" i="3" s="1"/>
  <c r="Z3" i="6"/>
  <c r="AA27" i="6" s="1"/>
  <c r="AA35" i="3" s="1"/>
  <c r="Z40" i="6"/>
  <c r="AA6" i="6"/>
  <c r="Z15" i="5"/>
  <c r="H9" i="10"/>
  <c r="G5" i="3" s="1"/>
  <c r="E5" i="4"/>
  <c r="E8" i="4" s="1"/>
  <c r="C21" i="5" l="1"/>
  <c r="C26" i="4"/>
  <c r="C12" i="5" s="1"/>
  <c r="Z23" i="3"/>
  <c r="AA24" i="3"/>
  <c r="AA41" i="6"/>
  <c r="AA20" i="4" s="1"/>
  <c r="AA4" i="6"/>
  <c r="AA3" i="6" s="1"/>
  <c r="AA23" i="3" s="1"/>
  <c r="F8" i="11"/>
  <c r="D21" i="5"/>
  <c r="I9" i="10"/>
  <c r="H5" i="3" s="1"/>
  <c r="F5" i="4"/>
  <c r="F8" i="4" s="1"/>
  <c r="D3" i="15" l="1"/>
  <c r="D5" i="15" s="1"/>
  <c r="AA15" i="5"/>
  <c r="AA40" i="6"/>
  <c r="J9" i="10"/>
  <c r="I5" i="3" s="1"/>
  <c r="G5" i="4"/>
  <c r="G8" i="4" s="1"/>
  <c r="E21" i="5"/>
  <c r="G8" i="11"/>
  <c r="D6" i="15" l="1"/>
  <c r="D7" i="15" s="1"/>
  <c r="D9" i="15" s="1"/>
  <c r="D10" i="15" s="1"/>
  <c r="D11" i="15" s="1"/>
  <c r="F21" i="5"/>
  <c r="H8" i="11"/>
  <c r="H5" i="4"/>
  <c r="H8" i="4" s="1"/>
  <c r="K9" i="10"/>
  <c r="J5" i="3" s="1"/>
  <c r="C30" i="4" l="1"/>
  <c r="C42" i="3"/>
  <c r="D12" i="15"/>
  <c r="C41" i="3" s="1"/>
  <c r="L9" i="10"/>
  <c r="K5" i="3" s="1"/>
  <c r="I5" i="4"/>
  <c r="I8" i="4" s="1"/>
  <c r="I8" i="11"/>
  <c r="G21" i="5"/>
  <c r="E14" i="15"/>
  <c r="C5" i="5"/>
  <c r="D17" i="15"/>
  <c r="C31" i="4" s="1"/>
  <c r="C13" i="5" s="1"/>
  <c r="C29" i="4" l="1"/>
  <c r="C14" i="5" s="1"/>
  <c r="C22" i="5" s="1"/>
  <c r="C45" i="3"/>
  <c r="C46" i="3" s="1"/>
  <c r="J8" i="11"/>
  <c r="H21" i="5"/>
  <c r="M9" i="10"/>
  <c r="L5" i="3" s="1"/>
  <c r="J5" i="4"/>
  <c r="J8" i="4" s="1"/>
  <c r="C32" i="4" l="1"/>
  <c r="C33" i="4" s="1"/>
  <c r="C10" i="5"/>
  <c r="C26" i="5" s="1"/>
  <c r="K5" i="4"/>
  <c r="K8" i="4" s="1"/>
  <c r="N9" i="10"/>
  <c r="M5" i="3" s="1"/>
  <c r="K8" i="11"/>
  <c r="I21" i="5"/>
  <c r="C6" i="5"/>
  <c r="C7" i="5" s="1"/>
  <c r="C29" i="5" s="1"/>
  <c r="D43" i="3"/>
  <c r="D21" i="4" s="1"/>
  <c r="D22" i="4" s="1"/>
  <c r="D26" i="4" s="1"/>
  <c r="C30" i="5" l="1"/>
  <c r="C27" i="5"/>
  <c r="O9" i="10"/>
  <c r="N5" i="3" s="1"/>
  <c r="J21" i="5"/>
  <c r="L8" i="11"/>
  <c r="D12" i="5"/>
  <c r="E3" i="15"/>
  <c r="L5" i="4"/>
  <c r="L8" i="4" s="1"/>
  <c r="K21" i="5" l="1"/>
  <c r="M8" i="11"/>
  <c r="E6" i="15"/>
  <c r="E5" i="15"/>
  <c r="P9" i="10"/>
  <c r="O5" i="3" s="1"/>
  <c r="M5" i="4"/>
  <c r="M8" i="4" s="1"/>
  <c r="E7" i="15" l="1"/>
  <c r="E9" i="15" s="1"/>
  <c r="D30" i="4" s="1"/>
  <c r="Q9" i="10"/>
  <c r="P5" i="3" s="1"/>
  <c r="L21" i="5"/>
  <c r="N8" i="11"/>
  <c r="N5" i="4"/>
  <c r="N8" i="4" s="1"/>
  <c r="D42" i="3" l="1"/>
  <c r="E10" i="15"/>
  <c r="M21" i="5"/>
  <c r="O8" i="11"/>
  <c r="O5" i="4"/>
  <c r="O8" i="4" s="1"/>
  <c r="R9" i="10"/>
  <c r="Q5" i="3" l="1"/>
  <c r="S9" i="10"/>
  <c r="E11" i="15"/>
  <c r="E12" i="15"/>
  <c r="P8" i="11"/>
  <c r="N21" i="5"/>
  <c r="P5" i="4"/>
  <c r="P8" i="4" s="1"/>
  <c r="Q5" i="4" l="1"/>
  <c r="Q8" i="4" s="1"/>
  <c r="R5" i="3"/>
  <c r="T9" i="10"/>
  <c r="D41" i="3"/>
  <c r="D45" i="3" s="1"/>
  <c r="D29" i="4"/>
  <c r="F14" i="15"/>
  <c r="D5" i="5"/>
  <c r="E17" i="15"/>
  <c r="D31" i="4" s="1"/>
  <c r="D13" i="5" s="1"/>
  <c r="O21" i="5"/>
  <c r="Q8" i="11"/>
  <c r="S5" i="3" l="1"/>
  <c r="U9" i="10"/>
  <c r="R5" i="4"/>
  <c r="R8" i="4" s="1"/>
  <c r="D14" i="5"/>
  <c r="D22" i="5" s="1"/>
  <c r="D32" i="4"/>
  <c r="D46" i="3"/>
  <c r="R8" i="11"/>
  <c r="P21" i="5"/>
  <c r="T5" i="3" l="1"/>
  <c r="V9" i="10"/>
  <c r="S5" i="4"/>
  <c r="S8" i="4" s="1"/>
  <c r="D33" i="4"/>
  <c r="D10" i="5"/>
  <c r="D6" i="5"/>
  <c r="D7" i="5" s="1"/>
  <c r="D29" i="5" s="1"/>
  <c r="E43" i="3"/>
  <c r="E21" i="4" s="1"/>
  <c r="E22" i="4" s="1"/>
  <c r="E26" i="4" s="1"/>
  <c r="Q21" i="5"/>
  <c r="S8" i="11"/>
  <c r="U5" i="3" l="1"/>
  <c r="W9" i="10"/>
  <c r="V5" i="3" s="1"/>
  <c r="T5" i="4"/>
  <c r="T8" i="4" s="1"/>
  <c r="D30" i="5"/>
  <c r="D26" i="5"/>
  <c r="D27" i="5"/>
  <c r="E12" i="5"/>
  <c r="F3" i="15"/>
  <c r="R21" i="5"/>
  <c r="T8" i="11"/>
  <c r="V5" i="4" l="1"/>
  <c r="V8" i="4" s="1"/>
  <c r="U5" i="4"/>
  <c r="U8" i="4" s="1"/>
  <c r="F6" i="15"/>
  <c r="F5" i="15"/>
  <c r="S21" i="5"/>
  <c r="U8" i="11"/>
  <c r="F7" i="15" l="1"/>
  <c r="F9" i="15" s="1"/>
  <c r="F10" i="15" s="1"/>
  <c r="F11" i="15" s="1"/>
  <c r="E5" i="5" s="1"/>
  <c r="T21" i="5"/>
  <c r="V8" i="11"/>
  <c r="G14" i="15" l="1"/>
  <c r="F17" i="15"/>
  <c r="E31" i="4" s="1"/>
  <c r="E13" i="5" s="1"/>
  <c r="E42" i="3"/>
  <c r="E30" i="4"/>
  <c r="F12" i="15"/>
  <c r="E41" i="3" s="1"/>
  <c r="W8" i="11"/>
  <c r="U21" i="5"/>
  <c r="E29" i="4" l="1"/>
  <c r="E14" i="5" s="1"/>
  <c r="E22" i="5" s="1"/>
  <c r="E45" i="3"/>
  <c r="V21" i="5"/>
  <c r="X8" i="11"/>
  <c r="E32" i="4" l="1"/>
  <c r="E10" i="5"/>
  <c r="E27" i="5" s="1"/>
  <c r="E46" i="3"/>
  <c r="W21" i="5"/>
  <c r="Y8" i="11"/>
  <c r="E33" i="4" l="1"/>
  <c r="E30" i="5"/>
  <c r="E26" i="5"/>
  <c r="F43" i="3"/>
  <c r="F21" i="4" s="1"/>
  <c r="F22" i="4" s="1"/>
  <c r="F26" i="4" s="1"/>
  <c r="E6" i="5"/>
  <c r="E7" i="5" s="1"/>
  <c r="E29" i="5" s="1"/>
  <c r="Z8" i="11"/>
  <c r="X21" i="5"/>
  <c r="F12" i="5" l="1"/>
  <c r="G3" i="15"/>
  <c r="Y21" i="5"/>
  <c r="AA8" i="11"/>
  <c r="G5" i="15" l="1"/>
  <c r="G6" i="15"/>
  <c r="AB8" i="11"/>
  <c r="AA21" i="5" s="1"/>
  <c r="Z21" i="5"/>
  <c r="G7" i="15" l="1"/>
  <c r="G9" i="15" s="1"/>
  <c r="F30" i="4" s="1"/>
  <c r="G10" i="15" l="1"/>
  <c r="F42" i="3"/>
  <c r="G11" i="15" l="1"/>
  <c r="G12" i="15"/>
  <c r="F41" i="3" l="1"/>
  <c r="F45" i="3" s="1"/>
  <c r="F29" i="4"/>
  <c r="F5" i="5"/>
  <c r="G17" i="15"/>
  <c r="F31" i="4" s="1"/>
  <c r="F13" i="5" s="1"/>
  <c r="H14" i="15"/>
  <c r="F32" i="4" l="1"/>
  <c r="F14" i="5"/>
  <c r="F22" i="5" s="1"/>
  <c r="F46" i="3"/>
  <c r="F33" i="4" l="1"/>
  <c r="F6" i="5"/>
  <c r="F7" i="5" s="1"/>
  <c r="F29" i="5" s="1"/>
  <c r="G43" i="3"/>
  <c r="G21" i="4" s="1"/>
  <c r="G22" i="4" s="1"/>
  <c r="G26" i="4" s="1"/>
  <c r="F10" i="5"/>
  <c r="H3" i="15" l="1"/>
  <c r="G12" i="5"/>
  <c r="F30" i="5"/>
  <c r="F26" i="5"/>
  <c r="F27" i="5"/>
  <c r="H6" i="15" l="1"/>
  <c r="H5" i="15"/>
  <c r="H7" i="15" l="1"/>
  <c r="H9" i="15" l="1"/>
  <c r="G42" i="3" s="1"/>
  <c r="H10" i="15" l="1"/>
  <c r="H12" i="15" s="1"/>
  <c r="G41" i="3" s="1"/>
  <c r="G30" i="4"/>
  <c r="H11" i="15" l="1"/>
  <c r="I14" i="15" s="1"/>
  <c r="G29" i="4"/>
  <c r="G45" i="3"/>
  <c r="H17" i="15" l="1"/>
  <c r="G31" i="4" s="1"/>
  <c r="G13" i="5" s="1"/>
  <c r="G5" i="5"/>
  <c r="G46" i="3"/>
  <c r="G14" i="5"/>
  <c r="G32" i="4" l="1"/>
  <c r="G22" i="5"/>
  <c r="G10" i="5"/>
  <c r="H43" i="3"/>
  <c r="H21" i="4" s="1"/>
  <c r="H22" i="4" s="1"/>
  <c r="H26" i="4" s="1"/>
  <c r="G6" i="5"/>
  <c r="G7" i="5" s="1"/>
  <c r="G29" i="5" l="1"/>
  <c r="G33" i="4"/>
  <c r="H12" i="5"/>
  <c r="I3" i="15"/>
  <c r="G27" i="5"/>
  <c r="G30" i="5"/>
  <c r="G26" i="5"/>
  <c r="I5" i="15" l="1"/>
  <c r="I6" i="15"/>
  <c r="I7" i="15" l="1"/>
  <c r="I9" i="15" l="1"/>
  <c r="I10" i="15" l="1"/>
  <c r="I11" i="15" s="1"/>
  <c r="H42" i="3"/>
  <c r="H30" i="4"/>
  <c r="I12" i="15" l="1"/>
  <c r="H41" i="3" l="1"/>
  <c r="H45" i="3" s="1"/>
  <c r="H29" i="4"/>
  <c r="H5" i="5"/>
  <c r="J14" i="15"/>
  <c r="I17" i="15"/>
  <c r="H31" i="4" s="1"/>
  <c r="H13" i="5" s="1"/>
  <c r="H32" i="4" l="1"/>
  <c r="H14" i="5"/>
  <c r="H22" i="5" s="1"/>
  <c r="H46" i="3"/>
  <c r="H10" i="5" l="1"/>
  <c r="H6" i="5"/>
  <c r="H7" i="5" s="1"/>
  <c r="H29" i="5" s="1"/>
  <c r="I43" i="3"/>
  <c r="I21" i="4" s="1"/>
  <c r="I22" i="4" s="1"/>
  <c r="I26" i="4" s="1"/>
  <c r="H33" i="4"/>
  <c r="H27" i="5" l="1"/>
  <c r="H26" i="5"/>
  <c r="H30" i="5"/>
  <c r="I12" i="5"/>
  <c r="J3" i="15"/>
  <c r="J6" i="15" l="1"/>
  <c r="J5" i="15"/>
  <c r="J7" i="15" l="1"/>
  <c r="J9" i="15" s="1"/>
  <c r="J10" i="15" l="1"/>
  <c r="J11" i="15" s="1"/>
  <c r="I30" i="4"/>
  <c r="I42" i="3"/>
  <c r="J12" i="15" l="1"/>
  <c r="I29" i="4" l="1"/>
  <c r="I41" i="3"/>
  <c r="I45" i="3" s="1"/>
  <c r="I5" i="5"/>
  <c r="K14" i="15"/>
  <c r="J17" i="15"/>
  <c r="I31" i="4" s="1"/>
  <c r="I13" i="5" s="1"/>
  <c r="I46" i="3" l="1"/>
  <c r="I32" i="4"/>
  <c r="I14" i="5"/>
  <c r="I10" i="5" s="1"/>
  <c r="I33" i="4" l="1"/>
  <c r="I22" i="5"/>
  <c r="J43" i="3"/>
  <c r="J21" i="4" s="1"/>
  <c r="J22" i="4" s="1"/>
  <c r="J26" i="4" s="1"/>
  <c r="I6" i="5"/>
  <c r="I7" i="5" s="1"/>
  <c r="I27" i="5"/>
  <c r="I26" i="5"/>
  <c r="I30" i="5"/>
  <c r="I29" i="5" l="1"/>
  <c r="K3" i="15"/>
  <c r="J12" i="5"/>
  <c r="K5" i="15" l="1"/>
  <c r="K6" i="15"/>
  <c r="K7" i="15" l="1"/>
  <c r="K9" i="15" s="1"/>
  <c r="K10" i="15" l="1"/>
  <c r="K11" i="15" s="1"/>
  <c r="J42" i="3"/>
  <c r="J30" i="4"/>
  <c r="K12" i="15" l="1"/>
  <c r="J41" i="3" l="1"/>
  <c r="J45" i="3" s="1"/>
  <c r="J29" i="4"/>
  <c r="L14" i="15"/>
  <c r="J5" i="5"/>
  <c r="K17" i="15"/>
  <c r="J31" i="4" s="1"/>
  <c r="J13" i="5" s="1"/>
  <c r="J32" i="4" l="1"/>
  <c r="J14" i="5"/>
  <c r="J22" i="5" s="1"/>
  <c r="J46" i="3"/>
  <c r="J10" i="5" l="1"/>
  <c r="J6" i="5"/>
  <c r="J7" i="5" s="1"/>
  <c r="J29" i="5" s="1"/>
  <c r="K43" i="3"/>
  <c r="K21" i="4" s="1"/>
  <c r="K22" i="4" s="1"/>
  <c r="K26" i="4" s="1"/>
  <c r="J33" i="4"/>
  <c r="L3" i="15" l="1"/>
  <c r="K12" i="5"/>
  <c r="J26" i="5"/>
  <c r="J30" i="5"/>
  <c r="J27" i="5"/>
  <c r="L5" i="15" l="1"/>
  <c r="L6" i="15"/>
  <c r="L7" i="15" l="1"/>
  <c r="L9" i="15" l="1"/>
  <c r="K42" i="3" s="1"/>
  <c r="L10" i="15" l="1"/>
  <c r="L11" i="15" s="1"/>
  <c r="K30" i="4"/>
  <c r="L12" i="15" l="1"/>
  <c r="K29" i="4" s="1"/>
  <c r="M14" i="15"/>
  <c r="K5" i="5"/>
  <c r="L17" i="15"/>
  <c r="K31" i="4" s="1"/>
  <c r="K13" i="5" s="1"/>
  <c r="K41" i="3" l="1"/>
  <c r="K45" i="3" s="1"/>
  <c r="K46" i="3" s="1"/>
  <c r="K32" i="4"/>
  <c r="K14" i="5"/>
  <c r="K10" i="5" s="1"/>
  <c r="K30" i="5" l="1"/>
  <c r="K27" i="5"/>
  <c r="K26" i="5"/>
  <c r="K22" i="5"/>
  <c r="L43" i="3"/>
  <c r="L21" i="4" s="1"/>
  <c r="L22" i="4" s="1"/>
  <c r="L26" i="4" s="1"/>
  <c r="K6" i="5"/>
  <c r="K7" i="5" s="1"/>
  <c r="K33" i="4"/>
  <c r="K29" i="5" l="1"/>
  <c r="L12" i="5"/>
  <c r="M3" i="15"/>
  <c r="M6" i="15" l="1"/>
  <c r="M5" i="15"/>
  <c r="M7" i="15" l="1"/>
  <c r="M9" i="15" s="1"/>
  <c r="M10" i="15" l="1"/>
  <c r="L30" i="4"/>
  <c r="L42" i="3"/>
  <c r="M11" i="15" l="1"/>
  <c r="M12" i="15"/>
  <c r="L29" i="4" l="1"/>
  <c r="L41" i="3"/>
  <c r="L45" i="3" s="1"/>
  <c r="N14" i="15"/>
  <c r="L5" i="5"/>
  <c r="M17" i="15"/>
  <c r="L31" i="4" s="1"/>
  <c r="L13" i="5" s="1"/>
  <c r="L46" i="3" l="1"/>
  <c r="L32" i="4"/>
  <c r="L14" i="5"/>
  <c r="L10" i="5" s="1"/>
  <c r="L33" i="4" l="1"/>
  <c r="L22" i="5"/>
  <c r="L6" i="5"/>
  <c r="L7" i="5" s="1"/>
  <c r="M43" i="3"/>
  <c r="M21" i="4" s="1"/>
  <c r="M22" i="4" s="1"/>
  <c r="M26" i="4" s="1"/>
  <c r="L30" i="5"/>
  <c r="L27" i="5"/>
  <c r="L26" i="5"/>
  <c r="L29" i="5" l="1"/>
  <c r="N3" i="15"/>
  <c r="M12" i="5"/>
  <c r="N5" i="15" l="1"/>
  <c r="N6" i="15"/>
  <c r="N7" i="15" l="1"/>
  <c r="N9" i="15" s="1"/>
  <c r="N10" i="15" l="1"/>
  <c r="M30" i="4"/>
  <c r="M42" i="3"/>
  <c r="N11" i="15" l="1"/>
  <c r="N12" i="15"/>
  <c r="M41" i="3" l="1"/>
  <c r="M45" i="3" s="1"/>
  <c r="M29" i="4"/>
  <c r="O14" i="15"/>
  <c r="N17" i="15"/>
  <c r="M31" i="4" s="1"/>
  <c r="M13" i="5" s="1"/>
  <c r="M5" i="5"/>
  <c r="M32" i="4" l="1"/>
  <c r="M14" i="5"/>
  <c r="M10" i="5" s="1"/>
  <c r="M46" i="3"/>
  <c r="M27" i="5" l="1"/>
  <c r="M30" i="5"/>
  <c r="M26" i="5"/>
  <c r="M33" i="4"/>
  <c r="M6" i="5"/>
  <c r="M7" i="5" s="1"/>
  <c r="N43" i="3"/>
  <c r="N21" i="4" s="1"/>
  <c r="N22" i="4" s="1"/>
  <c r="N26" i="4" s="1"/>
  <c r="M22" i="5"/>
  <c r="N12" i="5" l="1"/>
  <c r="O3" i="15"/>
  <c r="M29" i="5"/>
  <c r="O6" i="15" l="1"/>
  <c r="O5" i="15"/>
  <c r="O7" i="15" l="1"/>
  <c r="O9" i="15" l="1"/>
  <c r="N30" i="4" s="1"/>
  <c r="O10" i="15"/>
  <c r="N42" i="3" l="1"/>
  <c r="O11" i="15"/>
  <c r="O12" i="15"/>
  <c r="N29" i="4" l="1"/>
  <c r="N41" i="3"/>
  <c r="N45" i="3" s="1"/>
  <c r="P14" i="15"/>
  <c r="O17" i="15"/>
  <c r="N31" i="4" s="1"/>
  <c r="N13" i="5" s="1"/>
  <c r="N5" i="5"/>
  <c r="N46" i="3" l="1"/>
  <c r="N32" i="4"/>
  <c r="N14" i="5"/>
  <c r="N10" i="5" s="1"/>
  <c r="N26" i="5" l="1"/>
  <c r="N30" i="5"/>
  <c r="N27" i="5"/>
  <c r="N22" i="5"/>
  <c r="N33" i="4"/>
  <c r="N6" i="5"/>
  <c r="N7" i="5" s="1"/>
  <c r="O43" i="3"/>
  <c r="O21" i="4" s="1"/>
  <c r="O22" i="4" s="1"/>
  <c r="O26" i="4" s="1"/>
  <c r="N29" i="5" l="1"/>
  <c r="O12" i="5"/>
  <c r="P3" i="15"/>
  <c r="P6" i="15" l="1"/>
  <c r="P5" i="15"/>
  <c r="P7" i="15" l="1"/>
  <c r="P9" i="15" s="1"/>
  <c r="P10" i="15" l="1"/>
  <c r="O30" i="4"/>
  <c r="O42" i="3"/>
  <c r="P11" i="15" l="1"/>
  <c r="P12" i="15"/>
  <c r="O41" i="3" l="1"/>
  <c r="O45" i="3" s="1"/>
  <c r="O29" i="4"/>
  <c r="Q14" i="15"/>
  <c r="O5" i="5"/>
  <c r="P17" i="15"/>
  <c r="O31" i="4" s="1"/>
  <c r="O13" i="5" s="1"/>
  <c r="O32" i="4" l="1"/>
  <c r="O14" i="5"/>
  <c r="O10" i="5" s="1"/>
  <c r="O46" i="3"/>
  <c r="O27" i="5" l="1"/>
  <c r="O30" i="5"/>
  <c r="O26" i="5"/>
  <c r="O6" i="5"/>
  <c r="O7" i="5" s="1"/>
  <c r="P43" i="3"/>
  <c r="P21" i="4" s="1"/>
  <c r="P22" i="4" s="1"/>
  <c r="P26" i="4" s="1"/>
  <c r="O33" i="4"/>
  <c r="O22" i="5"/>
  <c r="O29" i="5" l="1"/>
  <c r="P12" i="5"/>
  <c r="Q3" i="15"/>
  <c r="Q5" i="15" l="1"/>
  <c r="Q6" i="15"/>
  <c r="Q7" i="15" l="1"/>
  <c r="Q9" i="15" l="1"/>
  <c r="Q10" i="15" s="1"/>
  <c r="P30" i="4" l="1"/>
  <c r="P42" i="3"/>
  <c r="Q11" i="15" l="1"/>
  <c r="Q12" i="15"/>
  <c r="P41" i="3" l="1"/>
  <c r="P45" i="3" s="1"/>
  <c r="P29" i="4"/>
  <c r="R14" i="15"/>
  <c r="Q17" i="15"/>
  <c r="P31" i="4" s="1"/>
  <c r="P13" i="5" s="1"/>
  <c r="P5" i="5"/>
  <c r="P32" i="4" l="1"/>
  <c r="P14" i="5"/>
  <c r="P22" i="5" s="1"/>
  <c r="P46" i="3"/>
  <c r="P33" i="4" l="1"/>
  <c r="P6" i="5"/>
  <c r="P7" i="5" s="1"/>
  <c r="P29" i="5" s="1"/>
  <c r="Q43" i="3"/>
  <c r="Q21" i="4" s="1"/>
  <c r="Q22" i="4" s="1"/>
  <c r="Q26" i="4" s="1"/>
  <c r="P10" i="5"/>
  <c r="R3" i="15" l="1"/>
  <c r="Q12" i="5"/>
  <c r="P30" i="5"/>
  <c r="P27" i="5"/>
  <c r="P26" i="5"/>
  <c r="R6" i="15" l="1"/>
  <c r="R5" i="15"/>
  <c r="R7" i="15" l="1"/>
  <c r="R9" i="15" s="1"/>
  <c r="R10" i="15" l="1"/>
  <c r="Q30" i="4"/>
  <c r="Q42" i="3"/>
  <c r="R11" i="15" l="1"/>
  <c r="R12" i="15"/>
  <c r="Q41" i="3" l="1"/>
  <c r="Q45" i="3" s="1"/>
  <c r="Q29" i="4"/>
  <c r="S14" i="15"/>
  <c r="R17" i="15"/>
  <c r="Q31" i="4" s="1"/>
  <c r="Q13" i="5" s="1"/>
  <c r="Q5" i="5"/>
  <c r="Q32" i="4" l="1"/>
  <c r="Q14" i="5"/>
  <c r="Q10" i="5" s="1"/>
  <c r="Q46" i="3"/>
  <c r="Q26" i="5" l="1"/>
  <c r="Q30" i="5"/>
  <c r="Q27" i="5"/>
  <c r="Q6" i="5"/>
  <c r="Q7" i="5" s="1"/>
  <c r="R43" i="3"/>
  <c r="R21" i="4" s="1"/>
  <c r="R22" i="4" s="1"/>
  <c r="R26" i="4" s="1"/>
  <c r="Q33" i="4"/>
  <c r="Q22" i="5"/>
  <c r="Q29" i="5" l="1"/>
  <c r="S3" i="15"/>
  <c r="R12" i="5"/>
  <c r="S6" i="15" l="1"/>
  <c r="S5" i="15"/>
  <c r="S7" i="15" l="1"/>
  <c r="S9" i="15" s="1"/>
  <c r="S10" i="15" l="1"/>
  <c r="R30" i="4"/>
  <c r="R42" i="3"/>
  <c r="S11" i="15" l="1"/>
  <c r="S12" i="15"/>
  <c r="R29" i="4" l="1"/>
  <c r="R41" i="3"/>
  <c r="R45" i="3" s="1"/>
  <c r="S17" i="15"/>
  <c r="R31" i="4" s="1"/>
  <c r="R13" i="5" s="1"/>
  <c r="R5" i="5"/>
  <c r="T14" i="15"/>
  <c r="R46" i="3" l="1"/>
  <c r="R32" i="4"/>
  <c r="R14" i="5"/>
  <c r="R10" i="5" s="1"/>
  <c r="R33" i="4" l="1"/>
  <c r="R6" i="5"/>
  <c r="R7" i="5" s="1"/>
  <c r="S43" i="3"/>
  <c r="S21" i="4" s="1"/>
  <c r="S22" i="4" s="1"/>
  <c r="S26" i="4" s="1"/>
  <c r="R27" i="5"/>
  <c r="R26" i="5"/>
  <c r="R30" i="5"/>
  <c r="R22" i="5"/>
  <c r="R29" i="5" l="1"/>
  <c r="S12" i="5"/>
  <c r="T3" i="15"/>
  <c r="T5" i="15" l="1"/>
  <c r="T6" i="15"/>
  <c r="T7" i="15" l="1"/>
  <c r="T9" i="15" l="1"/>
  <c r="T10" i="15" l="1"/>
  <c r="S30" i="4"/>
  <c r="S42" i="3"/>
  <c r="T11" i="15" l="1"/>
  <c r="T12" i="15"/>
  <c r="S41" i="3" l="1"/>
  <c r="S45" i="3" s="1"/>
  <c r="S29" i="4"/>
  <c r="S5" i="5"/>
  <c r="U14" i="15"/>
  <c r="T17" i="15"/>
  <c r="S31" i="4" s="1"/>
  <c r="S13" i="5" s="1"/>
  <c r="S32" i="4" l="1"/>
  <c r="S14" i="5"/>
  <c r="S10" i="5" s="1"/>
  <c r="S46" i="3"/>
  <c r="S22" i="5" l="1"/>
  <c r="S26" i="5"/>
  <c r="S27" i="5"/>
  <c r="S30" i="5"/>
  <c r="S33" i="4"/>
  <c r="S6" i="5"/>
  <c r="S7" i="5" s="1"/>
  <c r="T43" i="3"/>
  <c r="T21" i="4" s="1"/>
  <c r="T22" i="4" s="1"/>
  <c r="T26" i="4" s="1"/>
  <c r="S29" i="5" l="1"/>
  <c r="T12" i="5"/>
  <c r="U3" i="15"/>
  <c r="U5" i="15" l="1"/>
  <c r="U6" i="15"/>
  <c r="U7" i="15" l="1"/>
  <c r="U9" i="15" l="1"/>
  <c r="U10" i="15" l="1"/>
  <c r="T30" i="4"/>
  <c r="T42" i="3"/>
  <c r="U11" i="15" l="1"/>
  <c r="U12" i="15"/>
  <c r="T41" i="3" l="1"/>
  <c r="T45" i="3" s="1"/>
  <c r="T29" i="4"/>
  <c r="V14" i="15"/>
  <c r="U17" i="15"/>
  <c r="T31" i="4" s="1"/>
  <c r="T13" i="5" s="1"/>
  <c r="T5" i="5"/>
  <c r="T32" i="4" l="1"/>
  <c r="T14" i="5"/>
  <c r="T10" i="5" s="1"/>
  <c r="T46" i="3"/>
  <c r="T27" i="5" l="1"/>
  <c r="T30" i="5"/>
  <c r="T26" i="5"/>
  <c r="T6" i="5"/>
  <c r="T7" i="5" s="1"/>
  <c r="U43" i="3"/>
  <c r="U21" i="4" s="1"/>
  <c r="U22" i="4" s="1"/>
  <c r="U26" i="4" s="1"/>
  <c r="T33" i="4"/>
  <c r="T22" i="5"/>
  <c r="T29" i="5" l="1"/>
  <c r="V3" i="15"/>
  <c r="U12" i="5"/>
  <c r="V5" i="15" l="1"/>
  <c r="V6" i="15"/>
  <c r="V7" i="15" l="1"/>
  <c r="V9" i="15" l="1"/>
  <c r="V10" i="15" l="1"/>
  <c r="U42" i="3"/>
  <c r="U30" i="4"/>
  <c r="V11" i="15" l="1"/>
  <c r="V12" i="15"/>
  <c r="U41" i="3" l="1"/>
  <c r="U45" i="3" s="1"/>
  <c r="U29" i="4"/>
  <c r="U5" i="5"/>
  <c r="V17" i="15"/>
  <c r="U31" i="4" s="1"/>
  <c r="U13" i="5" s="1"/>
  <c r="W14" i="15"/>
  <c r="U32" i="4" l="1"/>
  <c r="U14" i="5"/>
  <c r="U10" i="5" s="1"/>
  <c r="U46" i="3"/>
  <c r="U27" i="5" l="1"/>
  <c r="U26" i="5"/>
  <c r="U30" i="5"/>
  <c r="V43" i="3"/>
  <c r="V21" i="4" s="1"/>
  <c r="V22" i="4" s="1"/>
  <c r="V26" i="4" s="1"/>
  <c r="U6" i="5"/>
  <c r="U7" i="5" s="1"/>
  <c r="U33" i="4"/>
  <c r="U22" i="5"/>
  <c r="U29" i="5" l="1"/>
  <c r="W3" i="15"/>
  <c r="V12" i="5"/>
  <c r="W6" i="15" l="1"/>
  <c r="W5" i="15"/>
  <c r="W7" i="15" l="1"/>
  <c r="W9" i="15" s="1"/>
  <c r="W10" i="15" l="1"/>
  <c r="V42" i="3"/>
  <c r="V30" i="4"/>
  <c r="W11" i="15" l="1"/>
  <c r="W12" i="15"/>
  <c r="V29" i="4" l="1"/>
  <c r="V41" i="3"/>
  <c r="V45" i="3" s="1"/>
  <c r="X14" i="15"/>
  <c r="W17" i="15"/>
  <c r="V31" i="4" s="1"/>
  <c r="V13" i="5" s="1"/>
  <c r="V5" i="5"/>
  <c r="V46" i="3" l="1"/>
  <c r="V32" i="4"/>
  <c r="V14" i="5"/>
  <c r="V10" i="5" s="1"/>
  <c r="V26" i="5" l="1"/>
  <c r="V30" i="5"/>
  <c r="V27" i="5"/>
  <c r="V6" i="5"/>
  <c r="V7" i="5" s="1"/>
  <c r="W43" i="3"/>
  <c r="W21" i="4" s="1"/>
  <c r="W22" i="4" s="1"/>
  <c r="W26" i="4" s="1"/>
  <c r="V22" i="5"/>
  <c r="V33" i="4"/>
  <c r="V29" i="5" l="1"/>
  <c r="X3" i="15"/>
  <c r="W12" i="5"/>
  <c r="X6" i="15" l="1"/>
  <c r="X5" i="15"/>
  <c r="X7" i="15" l="1"/>
  <c r="X9" i="15" l="1"/>
  <c r="X10" i="15" l="1"/>
  <c r="W42" i="3"/>
  <c r="W30" i="4"/>
  <c r="X11" i="15" l="1"/>
  <c r="X12" i="15"/>
  <c r="W29" i="4" l="1"/>
  <c r="W41" i="3"/>
  <c r="W45" i="3" s="1"/>
  <c r="Y14" i="15"/>
  <c r="X17" i="15"/>
  <c r="W31" i="4" s="1"/>
  <c r="W13" i="5" s="1"/>
  <c r="W5" i="5"/>
  <c r="W46" i="3" l="1"/>
  <c r="W32" i="4"/>
  <c r="W14" i="5"/>
  <c r="W10" i="5" s="1"/>
  <c r="W33" i="4" l="1"/>
  <c r="W22" i="5"/>
  <c r="W26" i="5"/>
  <c r="W27" i="5"/>
  <c r="W30" i="5"/>
  <c r="X43" i="3"/>
  <c r="X21" i="4" s="1"/>
  <c r="X22" i="4" s="1"/>
  <c r="X26" i="4" s="1"/>
  <c r="W6" i="5"/>
  <c r="W7" i="5" s="1"/>
  <c r="W29" i="5" l="1"/>
  <c r="X12" i="5"/>
  <c r="Y3" i="15"/>
  <c r="Y6" i="15" l="1"/>
  <c r="Y5" i="15"/>
  <c r="Y7" i="15" l="1"/>
  <c r="Y9" i="15" s="1"/>
  <c r="Y10" i="15" l="1"/>
  <c r="X30" i="4"/>
  <c r="X42" i="3"/>
  <c r="Y11" i="15" l="1"/>
  <c r="Y12" i="15"/>
  <c r="X41" i="3" l="1"/>
  <c r="X45" i="3" s="1"/>
  <c r="X29" i="4"/>
  <c r="Z14" i="15"/>
  <c r="Y17" i="15"/>
  <c r="X31" i="4" s="1"/>
  <c r="X13" i="5" s="1"/>
  <c r="X5" i="5"/>
  <c r="X32" i="4" l="1"/>
  <c r="X14" i="5"/>
  <c r="X10" i="5" s="1"/>
  <c r="X46" i="3"/>
  <c r="X22" i="5" l="1"/>
  <c r="X27" i="5"/>
  <c r="X30" i="5"/>
  <c r="X26" i="5"/>
  <c r="X33" i="4"/>
  <c r="X6" i="5"/>
  <c r="X7" i="5" s="1"/>
  <c r="Y43" i="3"/>
  <c r="Y21" i="4" s="1"/>
  <c r="Y22" i="4" s="1"/>
  <c r="Y26" i="4" s="1"/>
  <c r="X29" i="5" l="1"/>
  <c r="Y12" i="5"/>
  <c r="Z3" i="15"/>
  <c r="Z6" i="15" l="1"/>
  <c r="Z5" i="15"/>
  <c r="Z7" i="15" l="1"/>
  <c r="Z9" i="15" s="1"/>
  <c r="Z10" i="15" l="1"/>
  <c r="Y30" i="4"/>
  <c r="Y42" i="3"/>
  <c r="Z11" i="15" l="1"/>
  <c r="Z12" i="15"/>
  <c r="Y29" i="4" l="1"/>
  <c r="Y41" i="3"/>
  <c r="Y45" i="3" s="1"/>
  <c r="AA14" i="15"/>
  <c r="Z17" i="15"/>
  <c r="Y31" i="4" s="1"/>
  <c r="Y13" i="5" s="1"/>
  <c r="Y5" i="5"/>
  <c r="Y46" i="3" l="1"/>
  <c r="Y32" i="4"/>
  <c r="Y14" i="5"/>
  <c r="Y22" i="5" s="1"/>
  <c r="Y33" i="4" l="1"/>
  <c r="Y6" i="5"/>
  <c r="Y7" i="5" s="1"/>
  <c r="Y29" i="5" s="1"/>
  <c r="Z43" i="3"/>
  <c r="Z21" i="4" s="1"/>
  <c r="Z22" i="4" s="1"/>
  <c r="Z26" i="4" s="1"/>
  <c r="Y10" i="5"/>
  <c r="Y27" i="5" l="1"/>
  <c r="Y30" i="5"/>
  <c r="Y26" i="5"/>
  <c r="Z12" i="5"/>
  <c r="AA3" i="15"/>
  <c r="AA5" i="15" l="1"/>
  <c r="AA6" i="15"/>
  <c r="AA7" i="15" l="1"/>
  <c r="AA9" i="15" l="1"/>
  <c r="AA10" i="15" l="1"/>
  <c r="Z42" i="3"/>
  <c r="Z30" i="4"/>
  <c r="AA11" i="15" l="1"/>
  <c r="AA12" i="15"/>
  <c r="Z29" i="4" l="1"/>
  <c r="Z41" i="3"/>
  <c r="Z45" i="3" s="1"/>
  <c r="AB14" i="15"/>
  <c r="AA17" i="15"/>
  <c r="Z31" i="4" s="1"/>
  <c r="Z13" i="5" s="1"/>
  <c r="Z5" i="5"/>
  <c r="Z46" i="3" l="1"/>
  <c r="Z32" i="4"/>
  <c r="Z14" i="5"/>
  <c r="Z10" i="5" s="1"/>
  <c r="Z33" i="4" l="1"/>
  <c r="Z6" i="5"/>
  <c r="Z7" i="5" s="1"/>
  <c r="AA43" i="3"/>
  <c r="AA21" i="4" s="1"/>
  <c r="AA22" i="4" s="1"/>
  <c r="AA26" i="4" s="1"/>
  <c r="Z27" i="5"/>
  <c r="Z26" i="5"/>
  <c r="Z30" i="5"/>
  <c r="Z22" i="5"/>
  <c r="Z29" i="5" l="1"/>
  <c r="AB3" i="15"/>
  <c r="AA12" i="5"/>
  <c r="AB6" i="15" l="1"/>
  <c r="AB5" i="15"/>
  <c r="AB7" i="15" l="1"/>
  <c r="AB9" i="15" l="1"/>
  <c r="AB10" i="15" l="1"/>
  <c r="AA30" i="4"/>
  <c r="AA42" i="3"/>
  <c r="AB11" i="15" l="1"/>
  <c r="AB12" i="15"/>
  <c r="AA29" i="4" l="1"/>
  <c r="AA41" i="3"/>
  <c r="AA45" i="3" s="1"/>
  <c r="AB17" i="15"/>
  <c r="AA31" i="4" s="1"/>
  <c r="AA13" i="5" s="1"/>
  <c r="AA5" i="5"/>
  <c r="AA46" i="3" l="1"/>
  <c r="AA32" i="4"/>
  <c r="AA14" i="5"/>
  <c r="AA10" i="5" s="1"/>
  <c r="AA33" i="4" l="1"/>
  <c r="AA6" i="5"/>
  <c r="AA7" i="5" s="1"/>
  <c r="E2" i="1"/>
  <c r="AA30" i="5"/>
  <c r="AA26" i="5"/>
  <c r="AA27" i="5"/>
  <c r="AA22" i="5"/>
  <c r="AA29" i="5" l="1"/>
</calcChain>
</file>

<file path=xl/sharedStrings.xml><?xml version="1.0" encoding="utf-8"?>
<sst xmlns="http://schemas.openxmlformats.org/spreadsheetml/2006/main" count="551" uniqueCount="422">
  <si>
    <t>type</t>
  </si>
  <si>
    <t>grootte</t>
  </si>
  <si>
    <t>var_name</t>
  </si>
  <si>
    <t>eenheid</t>
  </si>
  <si>
    <t>opmerking</t>
  </si>
  <si>
    <t xml:space="preserve">Proceskosten incl risico onvoorzien </t>
  </si>
  <si>
    <t>€</t>
  </si>
  <si>
    <t>jaar</t>
  </si>
  <si>
    <t>%/jaar</t>
  </si>
  <si>
    <t xml:space="preserve">Depositorente </t>
  </si>
  <si>
    <t>Elk jaar zelfde depositorente</t>
  </si>
  <si>
    <t>Aanvang penetratie</t>
  </si>
  <si>
    <t>Groei penetratie</t>
  </si>
  <si>
    <t>BTW</t>
  </si>
  <si>
    <t>Kosten voor realisatie netwerk</t>
  </si>
  <si>
    <t>Kosten voor proces bij opzetten organisatie</t>
  </si>
  <si>
    <t>Bullet lening</t>
  </si>
  <si>
    <t>kost_org</t>
  </si>
  <si>
    <t>kost_laag1</t>
  </si>
  <si>
    <t>kost_netwerk</t>
  </si>
  <si>
    <t>kost_proces</t>
  </si>
  <si>
    <t>pen_aanvang</t>
  </si>
  <si>
    <t>pen_groei</t>
  </si>
  <si>
    <t>pen_aantal</t>
  </si>
  <si>
    <t>gen_btw</t>
  </si>
  <si>
    <t>gen_deprente</t>
  </si>
  <si>
    <t>scenario:</t>
  </si>
  <si>
    <t>%</t>
  </si>
  <si>
    <t>Jaar</t>
  </si>
  <si>
    <t>Operationale activiteiten</t>
  </si>
  <si>
    <t>Investeringsactiviteiten</t>
  </si>
  <si>
    <t>Realisatie netwerk</t>
  </si>
  <si>
    <t>BTW realisatie netwerk</t>
  </si>
  <si>
    <t>Teruggaaf BTW</t>
  </si>
  <si>
    <t>Financieringsactiviteiten</t>
  </si>
  <si>
    <t>Inkomsten op deposito</t>
  </si>
  <si>
    <t>NETTO KASSTROOM</t>
  </si>
  <si>
    <t>KASPOSITIE</t>
  </si>
  <si>
    <t>Operationele kosten</t>
  </si>
  <si>
    <t>Operationele opbrengsten</t>
  </si>
  <si>
    <t>gen_afs_termijn</t>
  </si>
  <si>
    <t>lineaire afschrijving</t>
  </si>
  <si>
    <t>Afschrijving netwerk</t>
  </si>
  <si>
    <t>Belastingkosten en -opbrengsten</t>
  </si>
  <si>
    <t>Financieringskosten en -opbrengsten</t>
  </si>
  <si>
    <t>WINST VOOR BELASTING</t>
  </si>
  <si>
    <t>ACTIVA</t>
  </si>
  <si>
    <t>Netwerk</t>
  </si>
  <si>
    <t>PASSIVA</t>
  </si>
  <si>
    <t>TOTAAL ACTIVA</t>
  </si>
  <si>
    <t>TOTAAL PASSIVA</t>
  </si>
  <si>
    <t>Winstbelasting</t>
  </si>
  <si>
    <t>Totale rentelasten</t>
  </si>
  <si>
    <t>Totaal vreemd vermogen</t>
  </si>
  <si>
    <t>Rentelasten</t>
  </si>
  <si>
    <t>WINST NA BELASTING</t>
  </si>
  <si>
    <t>CUMULATIEVE WINST</t>
  </si>
  <si>
    <t>SUBTOTAAL: Operationale opbrengsten</t>
  </si>
  <si>
    <t>SUBTOTAAL: Operationale kosten</t>
  </si>
  <si>
    <t>SUBTOTAAL: Financieringskosten</t>
  </si>
  <si>
    <t>inflatie&gt;0%; deflatie&lt;0%</t>
  </si>
  <si>
    <t>kost_org_index</t>
  </si>
  <si>
    <t>kost_laag1_index</t>
  </si>
  <si>
    <t>Jaarlijkse indexering kosten voor organisatie</t>
  </si>
  <si>
    <t>pen_max</t>
  </si>
  <si>
    <t>Relatieve penetratie</t>
  </si>
  <si>
    <t>Als deel van de potentiele markt</t>
  </si>
  <si>
    <t>Absolute penetratie</t>
  </si>
  <si>
    <t>Aantal deelnemers voor maandelijkse bijdrage</t>
  </si>
  <si>
    <t>Rekentabellen voor latere instappers</t>
  </si>
  <si>
    <t>Absolute groei penetratie</t>
  </si>
  <si>
    <t>Aantal nieuwe deelnemers voor eenmalige bijdrage</t>
  </si>
  <si>
    <t>fin_vv_omvang_1</t>
  </si>
  <si>
    <t>fin_vv_rente_1</t>
  </si>
  <si>
    <t>fin_vv_aanvang_1</t>
  </si>
  <si>
    <t>fin_vv_termijn_1</t>
  </si>
  <si>
    <t>fin_vv_omvang_2</t>
  </si>
  <si>
    <t>fin_vv_rente_2</t>
  </si>
  <si>
    <t>fin_vv_aanvang_2</t>
  </si>
  <si>
    <t>fin_vv_termijn_2</t>
  </si>
  <si>
    <t>fin_vv_termijn_4</t>
  </si>
  <si>
    <t>fin_vv_omvang_4</t>
  </si>
  <si>
    <t>fin_vv_rente_4</t>
  </si>
  <si>
    <t>fin_vv_aanvang_4</t>
  </si>
  <si>
    <t>fin_vv_omvang_5</t>
  </si>
  <si>
    <t>fin_vv_rente_5</t>
  </si>
  <si>
    <t>fin_vv_aanvang_5</t>
  </si>
  <si>
    <t>fin_vv_termijn_5</t>
  </si>
  <si>
    <t>Lineaire lening</t>
  </si>
  <si>
    <t>Omvang Lening 1</t>
  </si>
  <si>
    <t>Totale betaling Lening 1</t>
  </si>
  <si>
    <t>Rente betaling Lening 1</t>
  </si>
  <si>
    <t>Aflossing Lening 1</t>
  </si>
  <si>
    <t>Omvang Lening 2</t>
  </si>
  <si>
    <t>Totale betaling Lening 2</t>
  </si>
  <si>
    <t>Rente betaling Lening 2</t>
  </si>
  <si>
    <t>Aflossing Lening 2</t>
  </si>
  <si>
    <t>Omvang Lening 4</t>
  </si>
  <si>
    <t>Totale betaling Lening 4</t>
  </si>
  <si>
    <t>Rente betaling Lening 4</t>
  </si>
  <si>
    <t>Aflossing Lening 4</t>
  </si>
  <si>
    <t>Omvang Lening 5</t>
  </si>
  <si>
    <t>Totale betaling Lening 5</t>
  </si>
  <si>
    <t>Rente betaling Lening 5</t>
  </si>
  <si>
    <t>Aflossing Lening 5</t>
  </si>
  <si>
    <t>Aanvang lening 1</t>
  </si>
  <si>
    <t>Termijn lening 1</t>
  </si>
  <si>
    <t>Aanvang lening 2</t>
  </si>
  <si>
    <t>Termijn lening 2</t>
  </si>
  <si>
    <t>Aanvang lening 4</t>
  </si>
  <si>
    <t>Termijn lening 4</t>
  </si>
  <si>
    <t>Aanvang lening 5</t>
  </si>
  <si>
    <t>Termijn lening 5</t>
  </si>
  <si>
    <t>Omvang lening 1</t>
  </si>
  <si>
    <t>Rente lening 1</t>
  </si>
  <si>
    <t>Omvang lening 2</t>
  </si>
  <si>
    <t>Rente lening 2</t>
  </si>
  <si>
    <t>Omvang lening 4</t>
  </si>
  <si>
    <t>Rente lening 4</t>
  </si>
  <si>
    <t>Omvang lening 5</t>
  </si>
  <si>
    <t>Rente lening 5</t>
  </si>
  <si>
    <t>Vreemd vermogen lening 1</t>
  </si>
  <si>
    <t>Vreemd vermogen lening 2</t>
  </si>
  <si>
    <t>Vreemd vermogen lening 4</t>
  </si>
  <si>
    <t>Vreemd vermogen lening 5</t>
  </si>
  <si>
    <t>Vreemd vermogen lening 7</t>
  </si>
  <si>
    <t>Vreemd vermogen lening 8</t>
  </si>
  <si>
    <t>Inkomsten Lening 1</t>
  </si>
  <si>
    <t xml:space="preserve">Inkomsten Lening </t>
  </si>
  <si>
    <t>Inkomsten Lening 4</t>
  </si>
  <si>
    <t>Inkomsten Lening 5</t>
  </si>
  <si>
    <t>Inkomsten Lening 2</t>
  </si>
  <si>
    <t>Andere operationale activiteiten</t>
  </si>
  <si>
    <t>Andere operationele activiteiten jaar 1</t>
  </si>
  <si>
    <t>Andere operationele activiteiten jaar 2</t>
  </si>
  <si>
    <t>Andere operationele activiteiten jaar 3</t>
  </si>
  <si>
    <t>Andere operationele activiteiten jaar 4</t>
  </si>
  <si>
    <t>Andere operationele activiteiten jaar 5</t>
  </si>
  <si>
    <t>Andere operationele activiteiten jaar 6</t>
  </si>
  <si>
    <t>Andere operationele activiteiten jaar 7</t>
  </si>
  <si>
    <t>Andere operationele activiteiten jaar 8</t>
  </si>
  <si>
    <t>Andere operationele activiteiten jaar 9</t>
  </si>
  <si>
    <t>Andere operationele activiteiten jaar 10</t>
  </si>
  <si>
    <t>Andere operationele activiteiten jaar 11</t>
  </si>
  <si>
    <t>Andere operationele activiteiten jaar 12</t>
  </si>
  <si>
    <t>Andere operationele activiteiten jaar 13</t>
  </si>
  <si>
    <t>Andere operationele activiteiten jaar 14</t>
  </si>
  <si>
    <t>Andere operationele activiteiten jaar 15</t>
  </si>
  <si>
    <t>Andere operationele activiteiten jaar 16</t>
  </si>
  <si>
    <t>Andere operationele activiteiten jaar 17</t>
  </si>
  <si>
    <t>Andere operationele activiteiten jaar 18</t>
  </si>
  <si>
    <t>Andere operationele activiteiten jaar 19</t>
  </si>
  <si>
    <t>Andere operationele activiteiten jaar 20</t>
  </si>
  <si>
    <t>Andere operationele activiteiten jaar 21</t>
  </si>
  <si>
    <t>Andere operationele activiteiten jaar 22</t>
  </si>
  <si>
    <t>Andere operationele activiteiten jaar 23</t>
  </si>
  <si>
    <t>Andere operationele activiteiten jaar 24</t>
  </si>
  <si>
    <t>Andere operationele activiteiten jaar 25</t>
  </si>
  <si>
    <t>anders_op_0</t>
  </si>
  <si>
    <t>anders_op_1</t>
  </si>
  <si>
    <t>Andere operationele activiteiten jaar 0</t>
  </si>
  <si>
    <t>anders_op_2</t>
  </si>
  <si>
    <t>anders_op_3</t>
  </si>
  <si>
    <t>anders_op_4</t>
  </si>
  <si>
    <t>anders_op_5</t>
  </si>
  <si>
    <t>anders_op_6</t>
  </si>
  <si>
    <t>anders_op_7</t>
  </si>
  <si>
    <t>anders_op_8</t>
  </si>
  <si>
    <t>anders_op_9</t>
  </si>
  <si>
    <t>anders_op_10</t>
  </si>
  <si>
    <t>anders_op_11</t>
  </si>
  <si>
    <t>anders_op_12</t>
  </si>
  <si>
    <t>anders_op_13</t>
  </si>
  <si>
    <t>anders_op_14</t>
  </si>
  <si>
    <t>anders_op_15</t>
  </si>
  <si>
    <t>anders_op_16</t>
  </si>
  <si>
    <t>anders_op_17</t>
  </si>
  <si>
    <t>anders_op_18</t>
  </si>
  <si>
    <t>anders_op_19</t>
  </si>
  <si>
    <t>anders_op_20</t>
  </si>
  <si>
    <t>anders_op_21</t>
  </si>
  <si>
    <t>anders_op_22</t>
  </si>
  <si>
    <t>anders_op_23</t>
  </si>
  <si>
    <t>anders_op_24</t>
  </si>
  <si>
    <t>anders_op_25</t>
  </si>
  <si>
    <t>gen_uitsp_termijn</t>
  </si>
  <si>
    <r>
      <t xml:space="preserve">Uitspreidingstermijn </t>
    </r>
    <r>
      <rPr>
        <sz val="8"/>
        <rFont val="Consolas"/>
        <family val="3"/>
      </rPr>
      <t>eenmalige opbrengsten</t>
    </r>
  </si>
  <si>
    <t>Creditpost eenmalige bijdragen</t>
  </si>
  <si>
    <t>Balanswaarde netwerk</t>
  </si>
  <si>
    <t>Eenmalige bijdrage afnemer</t>
  </si>
  <si>
    <t>Afschrijving jaar 0</t>
  </si>
  <si>
    <t>Afschrijving jaar 1</t>
  </si>
  <si>
    <t>Afschrijving jaar 2</t>
  </si>
  <si>
    <t>Afschrijving jaar 3</t>
  </si>
  <si>
    <t>Afschrijving jaar 4</t>
  </si>
  <si>
    <t>Afschrijving jaar 5</t>
  </si>
  <si>
    <t>Afschrijving jaar 6</t>
  </si>
  <si>
    <t>Afschrijving jaar 7</t>
  </si>
  <si>
    <t>Afschrijving jaar 8</t>
  </si>
  <si>
    <t>Afschrijving jaar 9</t>
  </si>
  <si>
    <t>Afschrijving jaar 10</t>
  </si>
  <si>
    <t>Afschrijving jaar 11</t>
  </si>
  <si>
    <t>Afschrijving jaar 12</t>
  </si>
  <si>
    <t>Afschrijving jaar 13</t>
  </si>
  <si>
    <t>Afschrijving jaar 14</t>
  </si>
  <si>
    <t>Afschrijving jaar 15</t>
  </si>
  <si>
    <t>Afschrijving jaar 16</t>
  </si>
  <si>
    <t>Afschrijving jaar 17</t>
  </si>
  <si>
    <t>Afschrijving jaar 18</t>
  </si>
  <si>
    <t>Afschrijving jaar 19</t>
  </si>
  <si>
    <t>Afschrijving jaar 20</t>
  </si>
  <si>
    <t>Afschrijving jaar 21</t>
  </si>
  <si>
    <t>Afschrijving jaar 22</t>
  </si>
  <si>
    <t>Afschrijving jaar 23</t>
  </si>
  <si>
    <t>Afschrijving jaar 24</t>
  </si>
  <si>
    <t>Afschrijving jaar 25</t>
  </si>
  <si>
    <t>Aandeel afschrijving jaar 0</t>
  </si>
  <si>
    <t>Aandeel afschrijving jaar 1</t>
  </si>
  <si>
    <t>Aandeel afschrijving jaar 2</t>
  </si>
  <si>
    <t>Aandeel afschrijving jaar 3</t>
  </si>
  <si>
    <t>Aandeel afschrijving jaar 4</t>
  </si>
  <si>
    <t>Aandeel afschrijving jaar 5</t>
  </si>
  <si>
    <t>Aandeel afschrijving jaar 6</t>
  </si>
  <si>
    <t>Aandeel afschrijving jaar 7</t>
  </si>
  <si>
    <t>Aandeel afschrijving jaar 8</t>
  </si>
  <si>
    <t>Aandeel afschrijving jaar 9</t>
  </si>
  <si>
    <t>Aandeel afschrijving jaar 10</t>
  </si>
  <si>
    <t>Aandeel afschrijving jaar 11</t>
  </si>
  <si>
    <t>Aandeel afschrijving jaar 12</t>
  </si>
  <si>
    <t>Aandeel afschrijving jaar 13</t>
  </si>
  <si>
    <t>Aandeel afschrijving jaar 14</t>
  </si>
  <si>
    <t>Aandeel afschrijving jaar 15</t>
  </si>
  <si>
    <t>Aandeel afschrijving jaar 16</t>
  </si>
  <si>
    <t>Aandeel afschrijving jaar 17</t>
  </si>
  <si>
    <t>Aandeel afschrijving jaar 18</t>
  </si>
  <si>
    <t>Aandeel afschrijving jaar 19</t>
  </si>
  <si>
    <t>Aandeel afschrijving jaar 20</t>
  </si>
  <si>
    <t>Aandeel afschrijving jaar 21</t>
  </si>
  <si>
    <t>Aandeel afschrijving jaar 22</t>
  </si>
  <si>
    <t>Aandeel afschrijving jaar 23</t>
  </si>
  <si>
    <t>Aandeel afschrijving jaar 24</t>
  </si>
  <si>
    <t>Aandeel afschrijving jaar 25</t>
  </si>
  <si>
    <t>Totale jaarlijkse afschrijving</t>
  </si>
  <si>
    <t>Balanswaarde eenmalige inkomsten</t>
  </si>
  <si>
    <t>Uitspreiding eenmalige inkomsten</t>
  </si>
  <si>
    <t>Jaarlijkse inkomsten eenmalige bijdrage</t>
  </si>
  <si>
    <t>Toelichting</t>
  </si>
  <si>
    <t>Werkkapitaal</t>
  </si>
  <si>
    <t>minimale kaspositie</t>
  </si>
  <si>
    <t>Winst voor belasting</t>
  </si>
  <si>
    <t>Belasting laag</t>
  </si>
  <si>
    <t>Belasting hoog</t>
  </si>
  <si>
    <t>Totaal belasting</t>
  </si>
  <si>
    <t>Teruggave carry backward</t>
  </si>
  <si>
    <t>Belastingpot carry forward</t>
  </si>
  <si>
    <t>Betaalde belasting</t>
  </si>
  <si>
    <t>Startjaar: Carry forward</t>
  </si>
  <si>
    <t>Startjaar: Carry backward</t>
  </si>
  <si>
    <t>Vennootschapsbelasting laag</t>
  </si>
  <si>
    <t>gen_ven_bel_laag</t>
  </si>
  <si>
    <t>&lt;=200k€</t>
  </si>
  <si>
    <t>Vennootschapsbelasting hoog</t>
  </si>
  <si>
    <t>gen_ven_bel_hoog</t>
  </si>
  <si>
    <t>&gt;200k€</t>
  </si>
  <si>
    <t>Vennootschapsbelasting drempel</t>
  </si>
  <si>
    <t>gen_ven_bel_drempel</t>
  </si>
  <si>
    <t>Carryforward duur</t>
  </si>
  <si>
    <t>gen_car_for</t>
  </si>
  <si>
    <t>Carrybackward duur</t>
  </si>
  <si>
    <t>gen_car_bck</t>
  </si>
  <si>
    <t>Tussenberekening</t>
  </si>
  <si>
    <t>Teruggave winstbelasting</t>
  </si>
  <si>
    <t>Actieve belastinglatentie</t>
  </si>
  <si>
    <t>Totaal eigen vermogen</t>
  </si>
  <si>
    <t>Eigen vermogen Partij actieve lat</t>
  </si>
  <si>
    <t>Eigen vermogen Partij cumulatieve winstbelasting</t>
  </si>
  <si>
    <t>Eigen vermogen Partij cumulatieve brutowinst</t>
  </si>
  <si>
    <t>check activa en passiva</t>
  </si>
  <si>
    <t>check winstbelasting</t>
  </si>
  <si>
    <t>Mutatiebelastinglatentie</t>
  </si>
  <si>
    <t>Mutatie actieve belastinglatentie</t>
  </si>
  <si>
    <t>Subsidie</t>
  </si>
  <si>
    <t>ink_passief</t>
  </si>
  <si>
    <t>ink_passief_index</t>
  </si>
  <si>
    <t>Jaarlijkse indexering inkomsten passieve laag</t>
  </si>
  <si>
    <t>Na-aansluiters - Eenmalige bijdrage</t>
  </si>
  <si>
    <t>Na-aansluiters - Jaarlijkse indexering maandelijkse bijdrage</t>
  </si>
  <si>
    <t>Na-aansluiters - Duur maandelijkse bijdrage</t>
  </si>
  <si>
    <t>ink_na_eenmalig</t>
  </si>
  <si>
    <t>ink_na_maand</t>
  </si>
  <si>
    <t>ink_na_maand_index</t>
  </si>
  <si>
    <t>ink_na_duur</t>
  </si>
  <si>
    <t>Na-aansluiters jaar 1</t>
  </si>
  <si>
    <t>Na-aansluiters jaar 2</t>
  </si>
  <si>
    <t>Na-aansluiters jaar 3</t>
  </si>
  <si>
    <t>Na-aansluiters jaar 4</t>
  </si>
  <si>
    <t>Na-aansluiters jaar 5</t>
  </si>
  <si>
    <t>Na-aansluiters jaar 6</t>
  </si>
  <si>
    <t>Na-aansluiters jaar 7</t>
  </si>
  <si>
    <t>Na-aansluiters jaar 8</t>
  </si>
  <si>
    <t>Na-aansluiters jaar 9</t>
  </si>
  <si>
    <t>Na-aansluiters jaar 10</t>
  </si>
  <si>
    <t>Na-aansluiters jaar 11</t>
  </si>
  <si>
    <t>Na-aansluiters jaar 12</t>
  </si>
  <si>
    <t>Na-aansluiters jaar 13</t>
  </si>
  <si>
    <t>Na-aansluiters jaar 14</t>
  </si>
  <si>
    <t>Na-aansluiters jaar 15</t>
  </si>
  <si>
    <t>Na-aansluiters jaar 16</t>
  </si>
  <si>
    <t>Na-aansluiters jaar 17</t>
  </si>
  <si>
    <t>Na-aansluiters jaar 18</t>
  </si>
  <si>
    <t>Na-aansluiters jaar 19</t>
  </si>
  <si>
    <t>Na-aansluiters jaar 20</t>
  </si>
  <si>
    <t>Na-aansluiters jaar 21</t>
  </si>
  <si>
    <t>Na-aansluiters jaar 22</t>
  </si>
  <si>
    <t>Na-aansluiters jaar 23</t>
  </si>
  <si>
    <t>Na-aansluiters jaar 24</t>
  </si>
  <si>
    <t>Na-aansluiters jaar 25</t>
  </si>
  <si>
    <t>Na-aansluiters</t>
  </si>
  <si>
    <t>Startdeelnemers - Eenmalige bijdrage</t>
  </si>
  <si>
    <t>Startdeelnemers - Jaarlijkse indexering maandelijkse bijdrage</t>
  </si>
  <si>
    <t>Startdeelnemers - Duur maandelijkse bijdrage</t>
  </si>
  <si>
    <t>Startdeelnemers</t>
  </si>
  <si>
    <t>Inkomsten financiering startdeelenemers</t>
  </si>
  <si>
    <t>Inkomsten financiering na-aansluiters</t>
  </si>
  <si>
    <t>Eenmalige bijdrage startdeelnemers</t>
  </si>
  <si>
    <t>Eenmalige bijdrage na-aansluiters</t>
  </si>
  <si>
    <t>ink_start_eenmalig</t>
  </si>
  <si>
    <t>ink_start_maand</t>
  </si>
  <si>
    <t>ink_start_maand_index</t>
  </si>
  <si>
    <t>ink_start_duur</t>
  </si>
  <si>
    <t>fin_vv_omvang_3</t>
  </si>
  <si>
    <t>fin_vv_rente_3</t>
  </si>
  <si>
    <t>fin_vv_aanvang_3</t>
  </si>
  <si>
    <t>fin_vv_termijn_3</t>
  </si>
  <si>
    <t>fin_vv_omvang_6</t>
  </si>
  <si>
    <t>fin_vv_rente_6</t>
  </si>
  <si>
    <t>fin_vv_aanvang_6</t>
  </si>
  <si>
    <t>fin_vv_termijn_6</t>
  </si>
  <si>
    <r>
      <t xml:space="preserve">Afschrijvingstermijn </t>
    </r>
    <r>
      <rPr>
        <sz val="8"/>
        <rFont val="Consolas"/>
        <family val="3"/>
      </rPr>
      <t>infrastructuur</t>
    </r>
  </si>
  <si>
    <t>Inkomsten Lening 3</t>
  </si>
  <si>
    <t>Rente betaling Lening 3</t>
  </si>
  <si>
    <t>Aflossing Lening 3</t>
  </si>
  <si>
    <t>Inkomsten Lening 6</t>
  </si>
  <si>
    <t>Rente betaling Lening 6</t>
  </si>
  <si>
    <t>Aflossing Lening 6</t>
  </si>
  <si>
    <t>Jaarlijkse indexering kosten passieve netwerk</t>
  </si>
  <si>
    <t>Standaard betaling passieve laag</t>
  </si>
  <si>
    <t>Return on equity</t>
  </si>
  <si>
    <t>Return on equity (Year on Year)</t>
  </si>
  <si>
    <t xml:space="preserve">Uitspreiding eenmalige bijdragen </t>
  </si>
  <si>
    <t>Inkomsten maandelijkse bijdrage</t>
  </si>
  <si>
    <t>Eigen vermogen</t>
  </si>
  <si>
    <t>eigen_vermogen</t>
  </si>
  <si>
    <t>subsidie</t>
  </si>
  <si>
    <t>Startdeelnemers - Interesse in maandelijkse bijdrage</t>
  </si>
  <si>
    <t>Startdeelnemers - Interesse in eenmalige bijdrage</t>
  </si>
  <si>
    <t>ink_start_interesse_eenmalig</t>
  </si>
  <si>
    <t>ink_start_interesse_maand</t>
  </si>
  <si>
    <t>Na-aansluiters - Interesse in eenmalige bijdrage</t>
  </si>
  <si>
    <t>Na-aansluiters - Interesse in maandelijkse bijdrage</t>
  </si>
  <si>
    <t>ink_na_interesse_eenmalig</t>
  </si>
  <si>
    <t>ink_na_interesse_maand</t>
  </si>
  <si>
    <t>fin_vv_aflossingsvrij_1</t>
  </si>
  <si>
    <t>Aflossingsvrije periode lening 1</t>
  </si>
  <si>
    <t>Aflossingsvrije periode lening 2</t>
  </si>
  <si>
    <t>Omvang lening 3</t>
  </si>
  <si>
    <t>Rente lening 3</t>
  </si>
  <si>
    <t>Aanvang lening 3</t>
  </si>
  <si>
    <t>Termijn lening 3</t>
  </si>
  <si>
    <t>Omvang lening 6</t>
  </si>
  <si>
    <t>Rente lening 6</t>
  </si>
  <si>
    <t>Aanvang lening 6</t>
  </si>
  <si>
    <t>Termijn lening 6</t>
  </si>
  <si>
    <t>Aflossingsvrije periode lening 3</t>
  </si>
  <si>
    <t>Aflossingsvrije periode lening 4</t>
  </si>
  <si>
    <t>fin_vv_aflossingsvrij_4</t>
  </si>
  <si>
    <t>fin_vv_aflossingsvrij_3</t>
  </si>
  <si>
    <t>fin_vv_aflossingsvrij_2</t>
  </si>
  <si>
    <t>Omvang Lening 3</t>
  </si>
  <si>
    <t>Totale betaling Lening 3</t>
  </si>
  <si>
    <t>Omvang Lening 6</t>
  </si>
  <si>
    <t>Totale betaling Lening 6</t>
  </si>
  <si>
    <t>Kosten onverhaalbare schades</t>
  </si>
  <si>
    <t>Jaarlijkse indexering kosten onverhaalbare schades</t>
  </si>
  <si>
    <t>kost_onv_sch</t>
  </si>
  <si>
    <t>kost_onv_sch_index</t>
  </si>
  <si>
    <t>€/jaar</t>
  </si>
  <si>
    <t>Voorbeeld businesscase - Scenario I</t>
  </si>
  <si>
    <t>Voorbeeld businesscase - Scenario II</t>
  </si>
  <si>
    <t>Voorbeeld businesscase - Scenario III</t>
  </si>
  <si>
    <t>Voorbeeld businesscase - Scenario IV</t>
  </si>
  <si>
    <t>Voorbeeld businesscase - Scenario V</t>
  </si>
  <si>
    <t>Startdeelnemers - Maandelijkse bijdrage</t>
  </si>
  <si>
    <t>Na-aansluiters - Maandelijkse bijdrage</t>
  </si>
  <si>
    <t>Startmoment van de lening</t>
  </si>
  <si>
    <t>Duur van de aflossingsvrije periode</t>
  </si>
  <si>
    <t>Duur van de lening na de aflossingsvrije periode</t>
  </si>
  <si>
    <t>Deelname businesscase</t>
  </si>
  <si>
    <t>Uitgaven businesscase</t>
  </si>
  <si>
    <t>Inkomsten businesscase</t>
  </si>
  <si>
    <t>Financiering businesscase</t>
  </si>
  <si>
    <t>Overige parameters</t>
  </si>
  <si>
    <t>Fiscale parameters</t>
  </si>
  <si>
    <t>Jaarlijkse kosten passieve netwerk</t>
  </si>
  <si>
    <t>Jaarlijkse kosten onverhaalbare schades</t>
  </si>
  <si>
    <t>Jaarlijkste organisatiekosten</t>
  </si>
  <si>
    <t>Maximale penetratie (omvang potentiële markt)</t>
  </si>
  <si>
    <t>% van na-aansluiters</t>
  </si>
  <si>
    <t>Annuïtaire lening</t>
  </si>
  <si>
    <t>Duur van de lening na het startmoment</t>
  </si>
  <si>
    <t>Startmoment van de lenning</t>
  </si>
  <si>
    <t>Groei penetratie (in procentpunt)</t>
  </si>
  <si>
    <t>Inkomsten verhuur passieve infrastructuur</t>
  </si>
  <si>
    <t>Totaal aantal homes connected</t>
  </si>
  <si>
    <t>Totaal aantal aansluitingen</t>
  </si>
  <si>
    <t>€/home connected</t>
  </si>
  <si>
    <t>€/home connected/jaar</t>
  </si>
  <si>
    <t>€/maand/afnemer</t>
  </si>
  <si>
    <t>€/afnemer</t>
  </si>
  <si>
    <r>
      <t>%</t>
    </r>
    <r>
      <rPr>
        <sz val="8"/>
        <color rgb="FFFF0000"/>
        <rFont val="Consolas"/>
        <family val="3"/>
      </rPr>
      <t xml:space="preserve"> </t>
    </r>
    <r>
      <rPr>
        <sz val="8"/>
        <color theme="1"/>
        <rFont val="Consolas"/>
        <family val="3"/>
      </rPr>
      <t>van afnemers bij aanvang</t>
    </r>
  </si>
  <si>
    <t>% van afnemers bij aanvang</t>
  </si>
  <si>
    <r>
      <t xml:space="preserve">Dit rekenmodel is door onderzoeksbureau </t>
    </r>
    <r>
      <rPr>
        <b/>
        <sz val="9"/>
        <color theme="1"/>
        <rFont val="Verdana"/>
        <family val="2"/>
      </rPr>
      <t>Dialogic Innovatie en Interactie</t>
    </r>
    <r>
      <rPr>
        <sz val="9"/>
        <color theme="1"/>
        <rFont val="Verdana"/>
        <family val="2"/>
      </rPr>
      <t xml:space="preserve"> ontwikkeld in opdracht van het ministerie van Economische Zaken en Klimaat. Het rekenmodel is ontwikkeld voor het doorrekenen van een businesscase van breedbandinitiatieven. Bij het rekenmodel behoort ook een handleiding. Deze handleiding is terug te vinden op de website https://www.samensnelinternet.nl.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</si>
</sst>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 #,##0;[Red]&quot;€&quot;\ \-#,##0"/>
    <numFmt numFmtId="8" formatCode="&quot;€&quot;\ #,##0.00;[Red]&quot;€&quot;\ \-#,##0.00"/>
    <numFmt numFmtId="44" formatCode="_ &quot;€&quot;\ * #,##0.00_ ;_ &quot;€&quot;\ * \-#,##0.00_ ;_ &quot;€&quot;\ * &quot;-&quot;??_ ;_ @_ "/>
    <numFmt numFmtId="43" formatCode="_ * #,##0.00_ ;_ * \-#,##0.00_ ;_ * &quot;-&quot;??_ ;_ @_ "/>
    <numFmt numFmtId="164" formatCode="_(* #,##0.00_);_(* \(#,##0.00\);_(* &quot;-&quot;??_);_(@_)"/>
    <numFmt numFmtId="165" formatCode="0.0%"/>
    <numFmt numFmtId="166" formatCode="_ &quot;€&quot;\ * #,##0_ ;_ &quot;€&quot;\ * \-#,##0_ ;_ &quot;€&quot;\ * &quot;-&quot;??_ ;_ @_ "/>
    <numFmt numFmtId="167" formatCode="&quot;€&quot;\ #,##0"/>
    <numFmt numFmtId="168" formatCode="_-&quot;€&quot;\ * #,##0.00_-;_-&quot;€&quot;\ * #,##0.00\-;_-&quot;€&quot;\ * &quot;-&quot;??_-;_-@_-"/>
    <numFmt numFmtId="169" formatCode="_-* #,##0.00_-;_-* #,##0.00\-;_-* &quot;-&quot;??_-;_-@_-"/>
    <numFmt numFmtId="170" formatCode="_(* #,##0_);_(* \(#,##0\);_(* &quot;-&quot;_);@_)"/>
    <numFmt numFmtId="171" formatCode="0%_);\(0%\)"/>
    <numFmt numFmtId="172" formatCode="_-* #,##0.00\ [$_-1]_-;\-* #,##0.00\ [$_-1]_-;_-* &quot;-&quot;??\ [$_-1]_-"/>
    <numFmt numFmtId="173" formatCode="_(* #,##0.0_);_(* \(#,##0.0\);_(* &quot;-&quot;?_);@_)"/>
    <numFmt numFmtId="174" formatCode="_ * #,##0_ ;_ * \-#,##0_ ;_ * &quot;-&quot;??_ ;_ @_ "/>
  </numFmts>
  <fonts count="44" x14ac:knownFonts="1">
    <font>
      <sz val="11"/>
      <color theme="1"/>
      <name val="Calibri"/>
      <family val="2"/>
      <scheme val="minor"/>
    </font>
    <font>
      <sz val="11"/>
      <color theme="1"/>
      <name val="Calibri"/>
      <family val="2"/>
      <scheme val="minor"/>
    </font>
    <font>
      <sz val="8"/>
      <color theme="1"/>
      <name val="Consolas"/>
      <family val="3"/>
    </font>
    <font>
      <b/>
      <sz val="8"/>
      <color theme="1"/>
      <name val="Consolas"/>
      <family val="3"/>
    </font>
    <font>
      <sz val="8"/>
      <color theme="5" tint="0.59999389629810485"/>
      <name val="Consolas"/>
      <family val="3"/>
    </font>
    <font>
      <sz val="9"/>
      <color theme="0" tint="-0.499984740745262"/>
      <name val="Consolas"/>
      <family val="3"/>
    </font>
    <font>
      <sz val="9"/>
      <color theme="1"/>
      <name val="Consolas"/>
      <family val="3"/>
    </font>
    <font>
      <sz val="9"/>
      <color theme="0"/>
      <name val="Consolas"/>
      <family val="3"/>
    </font>
    <font>
      <b/>
      <sz val="9"/>
      <color theme="1"/>
      <name val="Consolas"/>
      <family val="3"/>
    </font>
    <font>
      <sz val="8"/>
      <name val="Consolas"/>
      <family val="3"/>
    </font>
    <font>
      <sz val="8"/>
      <color theme="0" tint="-0.249977111117893"/>
      <name val="Verdana"/>
      <family val="2"/>
    </font>
    <font>
      <u/>
      <sz val="11"/>
      <color theme="10"/>
      <name val="Calibri"/>
      <family val="2"/>
      <scheme val="minor"/>
    </font>
    <font>
      <u/>
      <sz val="11"/>
      <color theme="11"/>
      <name val="Calibri"/>
      <family val="2"/>
      <scheme val="minor"/>
    </font>
    <font>
      <sz val="9"/>
      <color theme="1"/>
      <name val="Verdana"/>
      <family val="2"/>
    </font>
    <font>
      <i/>
      <sz val="9"/>
      <color theme="1"/>
      <name val="Consolas"/>
      <family val="3"/>
    </font>
    <font>
      <sz val="9"/>
      <name val="Consolas"/>
      <family val="3"/>
    </font>
    <font>
      <b/>
      <sz val="11"/>
      <color theme="3"/>
      <name val="Calibri"/>
      <family val="2"/>
      <scheme val="minor"/>
    </font>
    <font>
      <sz val="9"/>
      <color theme="1"/>
      <name val="Calibri"/>
      <family val="2"/>
      <scheme val="minor"/>
    </font>
    <font>
      <sz val="9"/>
      <color rgb="FF9C0006"/>
      <name val="Arial"/>
      <family val="2"/>
    </font>
    <font>
      <b/>
      <sz val="9"/>
      <color rgb="FFFA7D00"/>
      <name val="Arial"/>
      <family val="2"/>
    </font>
    <font>
      <b/>
      <sz val="9"/>
      <color theme="0"/>
      <name val="Calibri"/>
      <family val="2"/>
      <scheme val="minor"/>
    </font>
    <font>
      <i/>
      <sz val="9"/>
      <color rgb="FF7F7F7F"/>
      <name val="Calibri"/>
      <family val="2"/>
      <scheme val="minor"/>
    </font>
    <font>
      <sz val="9"/>
      <color rgb="FF006100"/>
      <name val="Arial"/>
      <family val="2"/>
    </font>
    <font>
      <b/>
      <sz val="9"/>
      <color theme="3"/>
      <name val="Arial"/>
      <family val="2"/>
    </font>
    <font>
      <b/>
      <sz val="9"/>
      <color theme="3"/>
      <name val="Cambria"/>
      <family val="2"/>
      <scheme val="major"/>
    </font>
    <font>
      <sz val="9"/>
      <color theme="3"/>
      <name val="Cambria"/>
      <family val="2"/>
      <scheme val="major"/>
    </font>
    <font>
      <sz val="9"/>
      <color rgb="FF3F3F76"/>
      <name val="Calibri"/>
      <family val="2"/>
      <scheme val="minor"/>
    </font>
    <font>
      <sz val="9"/>
      <color rgb="FFFA7D00"/>
      <name val="Calibri"/>
      <family val="2"/>
      <scheme val="minor"/>
    </font>
    <font>
      <sz val="9"/>
      <color rgb="FF9C6500"/>
      <name val="Arial"/>
      <family val="2"/>
    </font>
    <font>
      <b/>
      <sz val="9"/>
      <color rgb="FF3F3F3F"/>
      <name val="Calibri"/>
      <family val="2"/>
      <scheme val="minor"/>
    </font>
    <font>
      <b/>
      <sz val="9"/>
      <color theme="1"/>
      <name val="Cambria"/>
      <family val="2"/>
      <scheme val="major"/>
    </font>
    <font>
      <b/>
      <sz val="11"/>
      <color theme="3"/>
      <name val="Cambria"/>
      <family val="2"/>
      <scheme val="major"/>
    </font>
    <font>
      <b/>
      <sz val="9"/>
      <color theme="3"/>
      <name val="Calibri"/>
      <family val="2"/>
      <scheme val="minor"/>
    </font>
    <font>
      <sz val="8"/>
      <color theme="1"/>
      <name val="Calibri"/>
      <family val="2"/>
      <scheme val="minor"/>
    </font>
    <font>
      <b/>
      <sz val="9"/>
      <color theme="1"/>
      <name val="Calibri"/>
      <family val="2"/>
      <scheme val="minor"/>
    </font>
    <font>
      <sz val="10"/>
      <name val="Arial"/>
      <family val="2"/>
    </font>
    <font>
      <b/>
      <sz val="10"/>
      <name val="Arial"/>
      <family val="2"/>
    </font>
    <font>
      <b/>
      <sz val="8"/>
      <name val="Arial"/>
      <family val="2"/>
    </font>
    <font>
      <u/>
      <sz val="10"/>
      <color indexed="12"/>
      <name val="Arial"/>
      <family val="2"/>
    </font>
    <font>
      <sz val="9"/>
      <name val="Arial"/>
      <family val="2"/>
    </font>
    <font>
      <sz val="11"/>
      <name val="Calibri"/>
      <family val="2"/>
      <scheme val="minor"/>
    </font>
    <font>
      <b/>
      <sz val="12"/>
      <color theme="1"/>
      <name val="Consolas"/>
      <family val="3"/>
    </font>
    <font>
      <sz val="8"/>
      <color rgb="FFFF0000"/>
      <name val="Consolas"/>
      <family val="3"/>
    </font>
    <font>
      <b/>
      <sz val="9"/>
      <color theme="1"/>
      <name val="Verdana"/>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003764"/>
        <bgColor indexed="64"/>
      </patternFill>
    </fill>
    <fill>
      <patternFill patternType="solid">
        <fgColor theme="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FCD4B6"/>
        <bgColor indexed="64"/>
      </patternFill>
    </fill>
    <fill>
      <patternFill patternType="solid">
        <fgColor rgb="FFE8E6DF"/>
        <bgColor indexed="64"/>
      </patternFill>
    </fill>
  </fills>
  <borders count="20">
    <border>
      <left/>
      <right/>
      <top/>
      <bottom/>
      <diagonal/>
    </border>
    <border>
      <left/>
      <right/>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thin">
        <color theme="4"/>
      </top>
      <bottom/>
      <diagonal/>
    </border>
    <border>
      <left/>
      <right/>
      <top style="thin">
        <color theme="4"/>
      </top>
      <bottom style="medium">
        <color theme="4"/>
      </bottom>
      <diagonal/>
    </border>
    <border>
      <left style="medium">
        <color indexed="64"/>
      </left>
      <right style="medium">
        <color indexed="64"/>
      </right>
      <top style="medium">
        <color indexed="64"/>
      </top>
      <bottom style="medium">
        <color indexed="64"/>
      </bottom>
      <diagonal/>
    </border>
  </borders>
  <cellStyleXfs count="75">
    <xf numFmtId="0" fontId="0" fillId="0" borderId="0"/>
    <xf numFmtId="9"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70" fontId="17" fillId="0" borderId="0"/>
    <xf numFmtId="49" fontId="31" fillId="0" borderId="0" applyAlignment="0" applyProtection="0"/>
    <xf numFmtId="49" fontId="23" fillId="0" borderId="15" applyFill="0" applyProtection="0">
      <alignment horizontal="right" wrapText="1"/>
    </xf>
    <xf numFmtId="49" fontId="24" fillId="0" borderId="0" applyProtection="0">
      <alignment wrapText="1"/>
    </xf>
    <xf numFmtId="49" fontId="25" fillId="0" borderId="16" applyFill="0" applyProtection="0">
      <alignment horizontal="right" wrapText="1"/>
    </xf>
    <xf numFmtId="49" fontId="25" fillId="0" borderId="0" applyProtection="0">
      <alignment wrapText="1"/>
    </xf>
    <xf numFmtId="172" fontId="22" fillId="10" borderId="0" applyNumberFormat="0" applyBorder="0" applyAlignment="0" applyProtection="0"/>
    <xf numFmtId="172" fontId="18" fillId="11" borderId="0" applyNumberFormat="0" applyBorder="0" applyAlignment="0" applyProtection="0"/>
    <xf numFmtId="172" fontId="28" fillId="12" borderId="0" applyNumberFormat="0" applyBorder="0" applyAlignment="0" applyProtection="0"/>
    <xf numFmtId="172" fontId="26" fillId="13" borderId="10" applyNumberFormat="0" applyAlignment="0" applyProtection="0"/>
    <xf numFmtId="172" fontId="29" fillId="14" borderId="11" applyNumberFormat="0" applyAlignment="0" applyProtection="0"/>
    <xf numFmtId="172" fontId="19" fillId="14" borderId="10" applyNumberFormat="0" applyAlignment="0" applyProtection="0"/>
    <xf numFmtId="172" fontId="27" fillId="0" borderId="12" applyNumberFormat="0" applyFill="0" applyAlignment="0" applyProtection="0"/>
    <xf numFmtId="172" fontId="20" fillId="15" borderId="13" applyNumberFormat="0" applyAlignment="0" applyProtection="0"/>
    <xf numFmtId="172" fontId="17" fillId="16" borderId="14" applyNumberFormat="0" applyAlignment="0" applyProtection="0"/>
    <xf numFmtId="172" fontId="21" fillId="0" borderId="0" applyNumberFormat="0" applyFill="0" applyBorder="0" applyAlignment="0" applyProtection="0"/>
    <xf numFmtId="172" fontId="30" fillId="0" borderId="18" applyNumberFormat="0" applyFill="0" applyAlignment="0" applyProtection="0"/>
    <xf numFmtId="170" fontId="32" fillId="0" borderId="0" applyNumberFormat="0" applyFill="0" applyBorder="0" applyAlignment="0" applyProtection="0"/>
    <xf numFmtId="170" fontId="17" fillId="17" borderId="0" applyNumberFormat="0" applyFont="0" applyBorder="0" applyAlignment="0" applyProtection="0"/>
    <xf numFmtId="172" fontId="17" fillId="0" borderId="0" applyFill="0" applyBorder="0" applyProtection="0"/>
    <xf numFmtId="170" fontId="17" fillId="18" borderId="0" applyNumberFormat="0" applyFont="0" applyBorder="0" applyAlignment="0" applyProtection="0"/>
    <xf numFmtId="171" fontId="17" fillId="0" borderId="0" applyFill="0" applyBorder="0" applyAlignment="0" applyProtection="0"/>
    <xf numFmtId="172" fontId="33" fillId="0" borderId="0" applyNumberFormat="0" applyAlignment="0" applyProtection="0"/>
    <xf numFmtId="172" fontId="32" fillId="0" borderId="15" applyFill="0" applyProtection="0">
      <alignment horizontal="right" wrapText="1"/>
    </xf>
    <xf numFmtId="172" fontId="32" fillId="0" borderId="0" applyFill="0" applyProtection="0">
      <alignment wrapText="1"/>
    </xf>
    <xf numFmtId="170" fontId="34" fillId="0" borderId="17" applyNumberFormat="0" applyFill="0" applyAlignment="0" applyProtection="0"/>
    <xf numFmtId="172" fontId="16" fillId="0" borderId="0" applyAlignment="0" applyProtection="0"/>
    <xf numFmtId="172" fontId="34" fillId="0" borderId="18" applyNumberFormat="0" applyFill="0" applyAlignment="0" applyProtection="0"/>
    <xf numFmtId="171" fontId="17" fillId="0" borderId="0" applyFont="0" applyFill="0" applyBorder="0" applyAlignment="0" applyProtection="0"/>
    <xf numFmtId="9" fontId="36" fillId="0" borderId="0" applyFont="0" applyFill="0" applyBorder="0" applyAlignment="0" applyProtection="0"/>
    <xf numFmtId="172" fontId="16" fillId="0" borderId="0" applyAlignment="0" applyProtection="0"/>
    <xf numFmtId="43" fontId="17"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172" fontId="35" fillId="0" borderId="0"/>
    <xf numFmtId="164" fontId="36" fillId="0" borderId="0" applyFont="0" applyFill="0" applyBorder="0" applyAlignment="0" applyProtection="0"/>
    <xf numFmtId="169" fontId="35" fillId="0" borderId="0" applyFont="0" applyFill="0" applyBorder="0" applyAlignment="0" applyProtection="0"/>
    <xf numFmtId="164" fontId="36" fillId="0" borderId="0" applyFont="0" applyFill="0" applyBorder="0" applyAlignment="0" applyProtection="0"/>
    <xf numFmtId="168" fontId="35" fillId="0" borderId="0" applyFont="0" applyFill="0" applyBorder="0" applyAlignment="0" applyProtection="0"/>
    <xf numFmtId="172" fontId="37" fillId="0" borderId="0"/>
    <xf numFmtId="172" fontId="38" fillId="0" borderId="0" applyNumberFormat="0" applyFill="0" applyBorder="0" applyAlignment="0" applyProtection="0">
      <alignment vertical="top"/>
      <protection locked="0"/>
    </xf>
    <xf numFmtId="9" fontId="35" fillId="0" borderId="0" applyFont="0" applyFill="0" applyBorder="0" applyAlignment="0" applyProtection="0"/>
    <xf numFmtId="9" fontId="36" fillId="0" borderId="0" applyFont="0" applyFill="0" applyBorder="0" applyAlignment="0" applyProtection="0"/>
    <xf numFmtId="172" fontId="35" fillId="0" borderId="0"/>
    <xf numFmtId="172" fontId="35" fillId="0" borderId="0"/>
    <xf numFmtId="43" fontId="1" fillId="0" borderId="0" applyFont="0" applyFill="0" applyBorder="0" applyAlignment="0" applyProtection="0"/>
    <xf numFmtId="173" fontId="39" fillId="0" borderId="0" applyAlignment="0" applyProtection="0"/>
    <xf numFmtId="0" fontId="35" fillId="0" borderId="0"/>
    <xf numFmtId="44" fontId="17" fillId="0" borderId="0" applyFont="0" applyFill="0" applyBorder="0" applyAlignment="0" applyProtection="0"/>
    <xf numFmtId="43" fontId="1" fillId="0" borderId="0" applyFont="0" applyFill="0" applyBorder="0" applyAlignment="0" applyProtection="0"/>
  </cellStyleXfs>
  <cellXfs count="163">
    <xf numFmtId="0" fontId="0" fillId="0" borderId="0" xfId="0"/>
    <xf numFmtId="0" fontId="0" fillId="3" borderId="0" xfId="0" applyFill="1"/>
    <xf numFmtId="0" fontId="5" fillId="0" borderId="0" xfId="0" applyFont="1" applyAlignment="1">
      <alignment horizontal="right"/>
    </xf>
    <xf numFmtId="165" fontId="5" fillId="0" borderId="0" xfId="1" applyNumberFormat="1" applyFont="1"/>
    <xf numFmtId="0" fontId="6" fillId="0" borderId="0" xfId="0" applyFont="1"/>
    <xf numFmtId="0" fontId="7" fillId="6" borderId="1" xfId="0" applyFont="1" applyFill="1" applyBorder="1" applyAlignment="1">
      <alignment horizontal="right"/>
    </xf>
    <xf numFmtId="1" fontId="7" fillId="6" borderId="1" xfId="0" applyNumberFormat="1" applyFont="1" applyFill="1" applyBorder="1"/>
    <xf numFmtId="0" fontId="8" fillId="2" borderId="0" xfId="0" applyFont="1" applyFill="1"/>
    <xf numFmtId="166" fontId="6" fillId="2" borderId="0" xfId="2" applyNumberFormat="1" applyFont="1" applyFill="1"/>
    <xf numFmtId="166" fontId="6" fillId="2" borderId="0" xfId="0" applyNumberFormat="1" applyFont="1" applyFill="1"/>
    <xf numFmtId="0" fontId="6" fillId="2" borderId="0" xfId="0" applyFont="1" applyFill="1"/>
    <xf numFmtId="6" fontId="6" fillId="2" borderId="0" xfId="2" applyNumberFormat="1" applyFont="1" applyFill="1"/>
    <xf numFmtId="0" fontId="6" fillId="7" borderId="0" xfId="0" applyFont="1" applyFill="1"/>
    <xf numFmtId="6" fontId="6" fillId="7" borderId="0" xfId="2" applyNumberFormat="1" applyFont="1" applyFill="1" applyBorder="1"/>
    <xf numFmtId="0" fontId="6" fillId="3" borderId="5" xfId="0" applyFont="1" applyFill="1" applyBorder="1"/>
    <xf numFmtId="6" fontId="6" fillId="3" borderId="6" xfId="2" applyNumberFormat="1" applyFont="1" applyFill="1" applyBorder="1"/>
    <xf numFmtId="0" fontId="6" fillId="3" borderId="7" xfId="0" applyFont="1" applyFill="1" applyBorder="1"/>
    <xf numFmtId="6" fontId="6" fillId="3" borderId="8" xfId="2" applyNumberFormat="1" applyFont="1" applyFill="1" applyBorder="1"/>
    <xf numFmtId="0" fontId="6" fillId="8" borderId="2" xfId="0" applyFont="1" applyFill="1" applyBorder="1"/>
    <xf numFmtId="166" fontId="6" fillId="8" borderId="2" xfId="2" applyNumberFormat="1" applyFont="1" applyFill="1" applyBorder="1"/>
    <xf numFmtId="0" fontId="8" fillId="3" borderId="0" xfId="0" applyFont="1" applyFill="1"/>
    <xf numFmtId="0" fontId="6" fillId="3" borderId="0" xfId="0" applyFont="1" applyFill="1"/>
    <xf numFmtId="0" fontId="5" fillId="3" borderId="0" xfId="0" applyFont="1" applyFill="1" applyAlignment="1">
      <alignment horizontal="right"/>
    </xf>
    <xf numFmtId="165" fontId="5" fillId="3" borderId="0" xfId="1" applyNumberFormat="1" applyFont="1" applyFill="1"/>
    <xf numFmtId="6" fontId="6" fillId="3" borderId="0" xfId="2" applyNumberFormat="1" applyFont="1" applyFill="1"/>
    <xf numFmtId="6" fontId="6" fillId="3" borderId="0" xfId="0" applyNumberFormat="1" applyFont="1" applyFill="1"/>
    <xf numFmtId="166" fontId="6" fillId="3" borderId="0" xfId="2" applyNumberFormat="1" applyFont="1" applyFill="1"/>
    <xf numFmtId="6" fontId="6" fillId="3" borderId="0" xfId="2" applyNumberFormat="1" applyFont="1" applyFill="1" applyBorder="1"/>
    <xf numFmtId="166" fontId="6" fillId="3" borderId="0" xfId="0" applyNumberFormat="1" applyFont="1" applyFill="1"/>
    <xf numFmtId="0" fontId="7" fillId="7" borderId="0" xfId="0" applyFont="1" applyFill="1"/>
    <xf numFmtId="6" fontId="7" fillId="7" borderId="0" xfId="2" applyNumberFormat="1" applyFont="1" applyFill="1"/>
    <xf numFmtId="0" fontId="6" fillId="3" borderId="2" xfId="0" applyFont="1" applyFill="1" applyBorder="1"/>
    <xf numFmtId="6" fontId="6" fillId="3" borderId="2" xfId="2" applyNumberFormat="1" applyFont="1" applyFill="1" applyBorder="1"/>
    <xf numFmtId="9" fontId="6" fillId="2" borderId="0" xfId="1" applyFont="1" applyFill="1"/>
    <xf numFmtId="1" fontId="6" fillId="2" borderId="0" xfId="2" applyNumberFormat="1" applyFont="1" applyFill="1"/>
    <xf numFmtId="0" fontId="8" fillId="2" borderId="1" xfId="0" applyFont="1" applyFill="1" applyBorder="1"/>
    <xf numFmtId="165" fontId="6" fillId="2" borderId="0" xfId="1" applyNumberFormat="1" applyFont="1" applyFill="1"/>
    <xf numFmtId="10" fontId="6" fillId="2" borderId="0" xfId="1" applyNumberFormat="1" applyFont="1" applyFill="1"/>
    <xf numFmtId="1" fontId="6" fillId="3" borderId="0" xfId="2" applyNumberFormat="1" applyFont="1" applyFill="1"/>
    <xf numFmtId="9" fontId="9" fillId="3" borderId="0" xfId="1" applyFont="1" applyFill="1" applyBorder="1"/>
    <xf numFmtId="0" fontId="6" fillId="3" borderId="0" xfId="0" applyFont="1" applyFill="1" applyBorder="1"/>
    <xf numFmtId="0" fontId="6" fillId="3" borderId="1" xfId="0" applyFont="1" applyFill="1" applyBorder="1"/>
    <xf numFmtId="6" fontId="6" fillId="3" borderId="1" xfId="2" applyNumberFormat="1" applyFont="1" applyFill="1" applyBorder="1"/>
    <xf numFmtId="1" fontId="6" fillId="3" borderId="1" xfId="2" applyNumberFormat="1" applyFont="1" applyFill="1" applyBorder="1"/>
    <xf numFmtId="0" fontId="13" fillId="0" borderId="0" xfId="0" applyFont="1"/>
    <xf numFmtId="0" fontId="13" fillId="0" borderId="0" xfId="0" applyFont="1" applyAlignment="1">
      <alignment wrapText="1"/>
    </xf>
    <xf numFmtId="6" fontId="14" fillId="3" borderId="0" xfId="0" applyNumberFormat="1" applyFont="1" applyFill="1" applyAlignment="1">
      <alignment horizontal="right"/>
    </xf>
    <xf numFmtId="166" fontId="0" fillId="0" borderId="0" xfId="0" applyNumberFormat="1"/>
    <xf numFmtId="0" fontId="6" fillId="0" borderId="1" xfId="0" applyFont="1" applyBorder="1"/>
    <xf numFmtId="166" fontId="6" fillId="2" borderId="1" xfId="2" applyNumberFormat="1" applyFont="1" applyFill="1" applyBorder="1"/>
    <xf numFmtId="6" fontId="6" fillId="9" borderId="0" xfId="2" applyNumberFormat="1" applyFont="1" applyFill="1"/>
    <xf numFmtId="6" fontId="15" fillId="9" borderId="0" xfId="2" applyNumberFormat="1" applyFont="1" applyFill="1"/>
    <xf numFmtId="8" fontId="0" fillId="0" borderId="0" xfId="0" applyNumberFormat="1"/>
    <xf numFmtId="6" fontId="0" fillId="3" borderId="0" xfId="0" applyNumberFormat="1" applyFill="1"/>
    <xf numFmtId="6" fontId="6" fillId="8" borderId="2" xfId="2" applyNumberFormat="1" applyFont="1" applyFill="1" applyBorder="1"/>
    <xf numFmtId="0" fontId="0" fillId="0" borderId="0" xfId="0"/>
    <xf numFmtId="0" fontId="6" fillId="0" borderId="0" xfId="0" applyFont="1"/>
    <xf numFmtId="0" fontId="6" fillId="3" borderId="0" xfId="0" applyFont="1" applyFill="1"/>
    <xf numFmtId="6" fontId="6" fillId="3" borderId="0" xfId="2" applyNumberFormat="1" applyFont="1" applyFill="1"/>
    <xf numFmtId="0" fontId="8" fillId="2" borderId="0" xfId="0" applyFont="1" applyFill="1" applyBorder="1"/>
    <xf numFmtId="166" fontId="6" fillId="2" borderId="0" xfId="2" applyNumberFormat="1" applyFont="1" applyFill="1" applyBorder="1"/>
    <xf numFmtId="166" fontId="6" fillId="2" borderId="0" xfId="0" applyNumberFormat="1" applyFont="1" applyFill="1" applyBorder="1"/>
    <xf numFmtId="6" fontId="6" fillId="3" borderId="0" xfId="0" applyNumberFormat="1" applyFont="1" applyFill="1" applyBorder="1"/>
    <xf numFmtId="6" fontId="2" fillId="3" borderId="0" xfId="0" applyNumberFormat="1" applyFont="1" applyFill="1" applyBorder="1" applyAlignment="1">
      <alignment horizontal="left" indent="1"/>
    </xf>
    <xf numFmtId="6" fontId="2" fillId="3" borderId="0" xfId="2" applyNumberFormat="1" applyFont="1" applyFill="1" applyBorder="1"/>
    <xf numFmtId="0" fontId="0" fillId="3" borderId="0" xfId="0" applyFill="1" applyBorder="1"/>
    <xf numFmtId="0" fontId="0" fillId="2" borderId="0" xfId="0" applyFill="1" applyBorder="1"/>
    <xf numFmtId="167" fontId="6" fillId="3" borderId="0" xfId="2" applyNumberFormat="1" applyFont="1" applyFill="1" applyBorder="1"/>
    <xf numFmtId="10" fontId="9" fillId="3" borderId="0" xfId="1" applyNumberFormat="1" applyFont="1" applyFill="1" applyBorder="1"/>
    <xf numFmtId="6" fontId="0" fillId="3" borderId="0" xfId="0" applyNumberFormat="1" applyFill="1" applyBorder="1"/>
    <xf numFmtId="9" fontId="2" fillId="5" borderId="0" xfId="0" applyNumberFormat="1" applyFont="1" applyFill="1" applyProtection="1"/>
    <xf numFmtId="0" fontId="4" fillId="5" borderId="0" xfId="0" applyFont="1" applyFill="1" applyProtection="1"/>
    <xf numFmtId="9" fontId="2" fillId="3" borderId="1" xfId="0" applyNumberFormat="1" applyFont="1" applyFill="1" applyBorder="1" applyProtection="1"/>
    <xf numFmtId="0" fontId="0" fillId="3" borderId="0" xfId="0" applyFill="1" applyProtection="1"/>
    <xf numFmtId="0" fontId="10" fillId="3" borderId="0" xfId="0" applyFont="1" applyFill="1" applyAlignment="1" applyProtection="1">
      <alignment horizontal="right"/>
    </xf>
    <xf numFmtId="10" fontId="10" fillId="3" borderId="0" xfId="1" applyNumberFormat="1" applyFont="1" applyFill="1" applyAlignment="1" applyProtection="1">
      <alignment horizontal="left"/>
    </xf>
    <xf numFmtId="0" fontId="40" fillId="3" borderId="0" xfId="0" applyFont="1" applyFill="1" applyBorder="1" applyProtection="1"/>
    <xf numFmtId="0" fontId="3" fillId="4" borderId="3" xfId="0" applyFont="1" applyFill="1" applyBorder="1" applyAlignment="1" applyProtection="1">
      <alignment horizontal="right"/>
    </xf>
    <xf numFmtId="6" fontId="10" fillId="3" borderId="0" xfId="0" applyNumberFormat="1" applyFont="1" applyFill="1" applyAlignment="1" applyProtection="1">
      <alignment horizontal="left"/>
    </xf>
    <xf numFmtId="8" fontId="10" fillId="3" borderId="0" xfId="0" applyNumberFormat="1" applyFont="1" applyFill="1" applyAlignment="1" applyProtection="1">
      <alignment horizontal="right"/>
    </xf>
    <xf numFmtId="0" fontId="3" fillId="3" borderId="2" xfId="0" applyFont="1" applyFill="1" applyBorder="1" applyProtection="1"/>
    <xf numFmtId="0" fontId="4" fillId="3" borderId="2" xfId="0" applyFont="1" applyFill="1" applyBorder="1" applyProtection="1"/>
    <xf numFmtId="0" fontId="3" fillId="3" borderId="9" xfId="0" applyFont="1" applyFill="1" applyBorder="1" applyProtection="1"/>
    <xf numFmtId="0" fontId="4" fillId="3" borderId="9" xfId="0" applyFont="1" applyFill="1" applyBorder="1" applyProtection="1"/>
    <xf numFmtId="0" fontId="41" fillId="3" borderId="1" xfId="0" applyFont="1" applyFill="1" applyBorder="1" applyProtection="1"/>
    <xf numFmtId="0" fontId="3" fillId="3" borderId="1" xfId="0" applyFont="1" applyFill="1" applyBorder="1" applyProtection="1"/>
    <xf numFmtId="0" fontId="4" fillId="3" borderId="1" xfId="0" applyFont="1" applyFill="1" applyBorder="1" applyProtection="1"/>
    <xf numFmtId="0" fontId="2" fillId="3" borderId="0" xfId="0" applyFont="1" applyFill="1" applyBorder="1" applyProtection="1"/>
    <xf numFmtId="174" fontId="2" fillId="3" borderId="0" xfId="74" applyNumberFormat="1" applyFont="1" applyFill="1" applyBorder="1" applyProtection="1"/>
    <xf numFmtId="0" fontId="4" fillId="3" borderId="0" xfId="0" applyFont="1" applyFill="1" applyBorder="1" applyProtection="1"/>
    <xf numFmtId="9" fontId="2" fillId="3" borderId="0" xfId="1" applyFont="1" applyFill="1" applyBorder="1" applyProtection="1"/>
    <xf numFmtId="0" fontId="2" fillId="3" borderId="0" xfId="0" applyFont="1" applyFill="1" applyProtection="1"/>
    <xf numFmtId="9" fontId="2" fillId="3" borderId="0" xfId="1" applyFont="1" applyFill="1" applyProtection="1"/>
    <xf numFmtId="0" fontId="4" fillId="3" borderId="0" xfId="0" applyFont="1" applyFill="1" applyProtection="1"/>
    <xf numFmtId="0" fontId="2" fillId="3" borderId="1" xfId="0" applyFont="1" applyFill="1" applyBorder="1" applyProtection="1"/>
    <xf numFmtId="9" fontId="2" fillId="3" borderId="1" xfId="1" applyFont="1" applyFill="1" applyBorder="1" applyProtection="1"/>
    <xf numFmtId="0" fontId="2" fillId="3" borderId="9" xfId="0" applyFont="1" applyFill="1" applyBorder="1" applyProtection="1"/>
    <xf numFmtId="166" fontId="2" fillId="3" borderId="9" xfId="2" applyNumberFormat="1" applyFont="1" applyFill="1" applyBorder="1" applyProtection="1"/>
    <xf numFmtId="166" fontId="2" fillId="3" borderId="1" xfId="2" applyNumberFormat="1" applyFont="1" applyFill="1" applyBorder="1" applyProtection="1"/>
    <xf numFmtId="166" fontId="2" fillId="3" borderId="0" xfId="2" applyNumberFormat="1" applyFont="1" applyFill="1" applyBorder="1" applyProtection="1"/>
    <xf numFmtId="165" fontId="2" fillId="3" borderId="0" xfId="1" applyNumberFormat="1" applyFont="1" applyFill="1" applyProtection="1"/>
    <xf numFmtId="44" fontId="2" fillId="3" borderId="0" xfId="2" applyFont="1" applyFill="1" applyProtection="1"/>
    <xf numFmtId="166" fontId="2" fillId="3" borderId="0" xfId="2" applyNumberFormat="1" applyFont="1" applyFill="1" applyProtection="1"/>
    <xf numFmtId="165" fontId="2" fillId="3" borderId="1" xfId="1" applyNumberFormat="1" applyFont="1" applyFill="1" applyBorder="1" applyProtection="1"/>
    <xf numFmtId="44" fontId="2" fillId="3" borderId="0" xfId="2" applyFont="1" applyFill="1" applyBorder="1" applyProtection="1"/>
    <xf numFmtId="0" fontId="2" fillId="5" borderId="9" xfId="0" applyFont="1" applyFill="1" applyBorder="1" applyProtection="1"/>
    <xf numFmtId="44" fontId="2" fillId="5" borderId="9" xfId="2" applyFont="1" applyFill="1" applyBorder="1" applyProtection="1"/>
    <xf numFmtId="0" fontId="4" fillId="5" borderId="9" xfId="0" applyFont="1" applyFill="1" applyBorder="1" applyProtection="1"/>
    <xf numFmtId="0" fontId="2" fillId="5" borderId="0" xfId="0" applyFont="1" applyFill="1" applyBorder="1" applyProtection="1"/>
    <xf numFmtId="44" fontId="2" fillId="5" borderId="0" xfId="2" applyFont="1" applyFill="1" applyProtection="1"/>
    <xf numFmtId="165" fontId="2" fillId="5" borderId="0" xfId="1" applyNumberFormat="1" applyFont="1" applyFill="1" applyProtection="1"/>
    <xf numFmtId="0" fontId="2" fillId="5" borderId="0" xfId="0" applyNumberFormat="1" applyFont="1" applyFill="1" applyBorder="1" applyProtection="1"/>
    <xf numFmtId="0" fontId="2" fillId="5" borderId="0" xfId="0" applyNumberFormat="1" applyFont="1" applyFill="1" applyProtection="1"/>
    <xf numFmtId="0" fontId="2" fillId="5" borderId="0" xfId="0" applyFont="1" applyFill="1" applyProtection="1"/>
    <xf numFmtId="0" fontId="40" fillId="3" borderId="0" xfId="0" applyNumberFormat="1" applyFont="1" applyFill="1" applyBorder="1" applyProtection="1"/>
    <xf numFmtId="9" fontId="2" fillId="5" borderId="0" xfId="1" applyFont="1" applyFill="1" applyProtection="1"/>
    <xf numFmtId="44" fontId="2" fillId="3" borderId="9" xfId="2" applyFont="1" applyFill="1" applyBorder="1" applyProtection="1"/>
    <xf numFmtId="0" fontId="2" fillId="3" borderId="0" xfId="0" applyNumberFormat="1" applyFont="1" applyFill="1" applyBorder="1" applyProtection="1"/>
    <xf numFmtId="0" fontId="2" fillId="3" borderId="0" xfId="0" applyNumberFormat="1" applyFont="1" applyFill="1" applyProtection="1"/>
    <xf numFmtId="9" fontId="2" fillId="3" borderId="1" xfId="1" applyNumberFormat="1" applyFont="1" applyFill="1" applyBorder="1" applyProtection="1"/>
    <xf numFmtId="9" fontId="2" fillId="3" borderId="0" xfId="1" applyNumberFormat="1" applyFont="1" applyFill="1" applyProtection="1"/>
    <xf numFmtId="166" fontId="2" fillId="5" borderId="0" xfId="2" applyNumberFormat="1" applyFont="1" applyFill="1" applyProtection="1"/>
    <xf numFmtId="1" fontId="40" fillId="3" borderId="0" xfId="0" applyNumberFormat="1" applyFont="1" applyFill="1" applyBorder="1" applyProtection="1"/>
    <xf numFmtId="0" fontId="2" fillId="3" borderId="1" xfId="0" applyNumberFormat="1" applyFont="1" applyFill="1" applyBorder="1" applyProtection="1"/>
    <xf numFmtId="1" fontId="2" fillId="3" borderId="0" xfId="1" applyNumberFormat="1" applyFont="1" applyFill="1" applyProtection="1"/>
    <xf numFmtId="9" fontId="2" fillId="3" borderId="9" xfId="1" applyFont="1" applyFill="1" applyBorder="1" applyProtection="1"/>
    <xf numFmtId="0" fontId="9" fillId="3" borderId="9" xfId="0" applyFont="1" applyFill="1" applyBorder="1" applyProtection="1"/>
    <xf numFmtId="9" fontId="9" fillId="3" borderId="9" xfId="1" applyNumberFormat="1" applyFont="1" applyFill="1" applyBorder="1" applyProtection="1"/>
    <xf numFmtId="0" fontId="9" fillId="3" borderId="0" xfId="0" applyFont="1" applyFill="1" applyBorder="1" applyProtection="1"/>
    <xf numFmtId="9" fontId="9" fillId="3" borderId="0" xfId="1" applyNumberFormat="1" applyFont="1" applyFill="1" applyBorder="1" applyProtection="1"/>
    <xf numFmtId="165" fontId="2" fillId="3" borderId="0" xfId="1" applyNumberFormat="1" applyFont="1" applyFill="1" applyBorder="1" applyProtection="1"/>
    <xf numFmtId="0" fontId="0" fillId="3" borderId="0" xfId="0" applyFill="1" applyProtection="1">
      <protection locked="0"/>
    </xf>
    <xf numFmtId="0" fontId="3" fillId="4" borderId="4" xfId="0" applyFont="1" applyFill="1" applyBorder="1" applyProtection="1">
      <protection locked="0"/>
    </xf>
    <xf numFmtId="0" fontId="3" fillId="3" borderId="9" xfId="0" applyFont="1" applyFill="1" applyBorder="1" applyProtection="1">
      <protection locked="0"/>
    </xf>
    <xf numFmtId="0" fontId="3" fillId="3" borderId="1" xfId="0" applyFont="1" applyFill="1" applyBorder="1" applyProtection="1">
      <protection locked="0"/>
    </xf>
    <xf numFmtId="0" fontId="2" fillId="3" borderId="0" xfId="0" applyFont="1" applyFill="1" applyBorder="1" applyProtection="1">
      <protection locked="0"/>
    </xf>
    <xf numFmtId="174" fontId="2" fillId="3" borderId="0" xfId="74" applyNumberFormat="1" applyFont="1" applyFill="1" applyBorder="1" applyProtection="1">
      <protection locked="0"/>
    </xf>
    <xf numFmtId="0" fontId="2" fillId="3" borderId="0" xfId="0" applyFont="1" applyFill="1" applyProtection="1">
      <protection locked="0"/>
    </xf>
    <xf numFmtId="0" fontId="2" fillId="3" borderId="1" xfId="0" applyFont="1" applyFill="1" applyBorder="1" applyProtection="1">
      <protection locked="0"/>
    </xf>
    <xf numFmtId="0" fontId="2" fillId="5" borderId="0" xfId="0" applyFont="1" applyFill="1" applyProtection="1">
      <protection locked="0"/>
    </xf>
    <xf numFmtId="0" fontId="3" fillId="3" borderId="19" xfId="0" applyFont="1" applyFill="1" applyBorder="1" applyProtection="1">
      <protection locked="0"/>
    </xf>
    <xf numFmtId="0" fontId="3" fillId="3" borderId="3" xfId="0" applyFont="1" applyFill="1" applyBorder="1" applyProtection="1">
      <protection locked="0"/>
    </xf>
    <xf numFmtId="9" fontId="2" fillId="3" borderId="0" xfId="0" applyNumberFormat="1" applyFont="1" applyFill="1" applyBorder="1" applyProtection="1">
      <protection locked="0"/>
    </xf>
    <xf numFmtId="9" fontId="2" fillId="3" borderId="1" xfId="0" applyNumberFormat="1" applyFont="1" applyFill="1" applyBorder="1" applyProtection="1">
      <protection locked="0"/>
    </xf>
    <xf numFmtId="6" fontId="2" fillId="3" borderId="9" xfId="0" applyNumberFormat="1" applyFont="1" applyFill="1" applyBorder="1" applyProtection="1">
      <protection locked="0"/>
    </xf>
    <xf numFmtId="6" fontId="2" fillId="3" borderId="1" xfId="0" applyNumberFormat="1" applyFont="1" applyFill="1" applyBorder="1" applyProtection="1">
      <protection locked="0"/>
    </xf>
    <xf numFmtId="6" fontId="2" fillId="3" borderId="0" xfId="0" applyNumberFormat="1" applyFont="1" applyFill="1" applyBorder="1" applyProtection="1">
      <protection locked="0"/>
    </xf>
    <xf numFmtId="10" fontId="2" fillId="3" borderId="0" xfId="0" applyNumberFormat="1" applyFont="1" applyFill="1" applyProtection="1">
      <protection locked="0"/>
    </xf>
    <xf numFmtId="8" fontId="2" fillId="3" borderId="0" xfId="0" applyNumberFormat="1" applyFont="1" applyFill="1" applyProtection="1">
      <protection locked="0"/>
    </xf>
    <xf numFmtId="6" fontId="2" fillId="3" borderId="0" xfId="0" applyNumberFormat="1" applyFont="1" applyFill="1" applyProtection="1">
      <protection locked="0"/>
    </xf>
    <xf numFmtId="10" fontId="2" fillId="3" borderId="1" xfId="0" applyNumberFormat="1" applyFont="1" applyFill="1" applyBorder="1" applyProtection="1">
      <protection locked="0"/>
    </xf>
    <xf numFmtId="8" fontId="2" fillId="3" borderId="0" xfId="0" applyNumberFormat="1" applyFont="1" applyFill="1" applyBorder="1" applyProtection="1">
      <protection locked="0"/>
    </xf>
    <xf numFmtId="8" fontId="2" fillId="5" borderId="9" xfId="0" applyNumberFormat="1" applyFont="1" applyFill="1" applyBorder="1" applyProtection="1">
      <protection locked="0"/>
    </xf>
    <xf numFmtId="8" fontId="2" fillId="5" borderId="0" xfId="0" applyNumberFormat="1" applyFont="1" applyFill="1" applyProtection="1">
      <protection locked="0"/>
    </xf>
    <xf numFmtId="165" fontId="2" fillId="5" borderId="0" xfId="0" applyNumberFormat="1" applyFont="1" applyFill="1" applyProtection="1">
      <protection locked="0"/>
    </xf>
    <xf numFmtId="9" fontId="2" fillId="5" borderId="0" xfId="0" applyNumberFormat="1" applyFont="1" applyFill="1" applyProtection="1">
      <protection locked="0"/>
    </xf>
    <xf numFmtId="8" fontId="2" fillId="3" borderId="9" xfId="0" applyNumberFormat="1" applyFont="1" applyFill="1" applyBorder="1" applyProtection="1">
      <protection locked="0"/>
    </xf>
    <xf numFmtId="165" fontId="2" fillId="3" borderId="0" xfId="0" applyNumberFormat="1" applyFont="1" applyFill="1" applyProtection="1">
      <protection locked="0"/>
    </xf>
    <xf numFmtId="9" fontId="2" fillId="3" borderId="0" xfId="0" applyNumberFormat="1" applyFont="1" applyFill="1" applyProtection="1">
      <protection locked="0"/>
    </xf>
    <xf numFmtId="6" fontId="2" fillId="5" borderId="0" xfId="0" applyNumberFormat="1" applyFont="1" applyFill="1" applyProtection="1">
      <protection locked="0"/>
    </xf>
    <xf numFmtId="10" fontId="2" fillId="5" borderId="0" xfId="0" applyNumberFormat="1" applyFont="1" applyFill="1" applyProtection="1">
      <protection locked="0"/>
    </xf>
    <xf numFmtId="10" fontId="2" fillId="3" borderId="0" xfId="0" applyNumberFormat="1" applyFont="1" applyFill="1" applyBorder="1" applyProtection="1">
      <protection locked="0"/>
    </xf>
    <xf numFmtId="9" fontId="2" fillId="3" borderId="9" xfId="0" applyNumberFormat="1" applyFont="1" applyFill="1" applyBorder="1" applyProtection="1">
      <protection locked="0"/>
    </xf>
  </cellXfs>
  <cellStyles count="75">
    <cellStyle name="_x000d__x000a_JournalTemplate=C:\COMFO\CTALK\JOURSTD.TPL_x000d__x000a_LbStateAddress=3 3 0 251 1 89 2 311_x000d__x000a_LbStateJou" xfId="59" xr:uid="{00000000-0005-0000-0000-000000000000}"/>
    <cellStyle name="_x000d__x000a_JournalTemplate=C:\COMFO\CTALK\JOURSTD.TPL_x000d__x000a_LbStateAddress=3 3 0 251 1 89 2 311_x000d__x000a_LbStateJou 2" xfId="72" xr:uid="{00000000-0005-0000-0000-000001000000}"/>
    <cellStyle name="Berekening 2" xfId="36" xr:uid="{00000000-0005-0000-0000-000002000000}"/>
    <cellStyle name="Brand Default" xfId="71" xr:uid="{00000000-0005-0000-0000-000003000000}"/>
    <cellStyle name="Comma 2" xfId="60" xr:uid="{00000000-0005-0000-0000-000005000000}"/>
    <cellStyle name="Comma 2 2" xfId="61" xr:uid="{00000000-0005-0000-0000-000006000000}"/>
    <cellStyle name="Comma 2 3" xfId="62" xr:uid="{00000000-0005-0000-0000-000007000000}"/>
    <cellStyle name="Comma 3" xfId="70" xr:uid="{00000000-0005-0000-0000-000008000000}"/>
    <cellStyle name="Controlecel 2" xfId="38" xr:uid="{00000000-0005-0000-0000-000009000000}"/>
    <cellStyle name="Euro" xfId="63" xr:uid="{00000000-0005-0000-0000-00000B000000}"/>
    <cellStyle name="Gekoppelde cel 2" xfId="37" xr:uid="{00000000-0005-0000-0000-000017000000}"/>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oed 2" xfId="31" xr:uid="{00000000-0005-0000-0000-000018000000}"/>
    <cellStyle name="Header" xfId="64" xr:uid="{00000000-0005-0000-0000-000019000000}"/>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2" xfId="65" xr:uid="{00000000-0005-0000-0000-000025000000}"/>
    <cellStyle name="Invoer 2" xfId="34" xr:uid="{00000000-0005-0000-0000-000026000000}"/>
    <cellStyle name="Komma" xfId="74" builtinId="3"/>
    <cellStyle name="Komma 2" xfId="57" xr:uid="{00000000-0005-0000-0000-000027000000}"/>
    <cellStyle name="Komma 3" xfId="56" xr:uid="{00000000-0005-0000-0000-000028000000}"/>
    <cellStyle name="Kop 1 2" xfId="27" xr:uid="{00000000-0005-0000-0000-000029000000}"/>
    <cellStyle name="Kop 2 2" xfId="28" xr:uid="{00000000-0005-0000-0000-00002A000000}"/>
    <cellStyle name="Kop 3 2" xfId="29" xr:uid="{00000000-0005-0000-0000-00002B000000}"/>
    <cellStyle name="Kop 4 2" xfId="30" xr:uid="{00000000-0005-0000-0000-00002C000000}"/>
    <cellStyle name="Neutraal 2" xfId="33" xr:uid="{00000000-0005-0000-0000-00002D000000}"/>
    <cellStyle name="Notitie 2" xfId="39" xr:uid="{00000000-0005-0000-0000-00002F000000}"/>
    <cellStyle name="Ongeldig 2" xfId="32" xr:uid="{00000000-0005-0000-0000-000030000000}"/>
    <cellStyle name="Percent 2" xfId="54" xr:uid="{00000000-0005-0000-0000-000032000000}"/>
    <cellStyle name="Percent 2 2" xfId="66" xr:uid="{00000000-0005-0000-0000-000033000000}"/>
    <cellStyle name="Percent 2 3" xfId="67" xr:uid="{00000000-0005-0000-0000-000034000000}"/>
    <cellStyle name="Percent 3" xfId="58" xr:uid="{00000000-0005-0000-0000-000035000000}"/>
    <cellStyle name="Procent" xfId="1" builtinId="5"/>
    <cellStyle name="Procent 2" xfId="53" xr:uid="{00000000-0005-0000-0000-000036000000}"/>
    <cellStyle name="Smart Bold" xfId="42" xr:uid="{00000000-0005-0000-0000-000037000000}"/>
    <cellStyle name="Smart Forecast" xfId="43" xr:uid="{00000000-0005-0000-0000-000038000000}"/>
    <cellStyle name="Smart General" xfId="44" xr:uid="{00000000-0005-0000-0000-000039000000}"/>
    <cellStyle name="Smart Highlight" xfId="45" xr:uid="{00000000-0005-0000-0000-00003A000000}"/>
    <cellStyle name="Smart Percent" xfId="46" xr:uid="{00000000-0005-0000-0000-00003B000000}"/>
    <cellStyle name="Smart Source" xfId="47" xr:uid="{00000000-0005-0000-0000-00003C000000}"/>
    <cellStyle name="Smart Subtitle 1" xfId="48" xr:uid="{00000000-0005-0000-0000-00003D000000}"/>
    <cellStyle name="Smart Subtitle 2" xfId="49" xr:uid="{00000000-0005-0000-0000-00003E000000}"/>
    <cellStyle name="Smart Subtotal" xfId="50" xr:uid="{00000000-0005-0000-0000-00003F000000}"/>
    <cellStyle name="Smart Title" xfId="51" xr:uid="{00000000-0005-0000-0000-000040000000}"/>
    <cellStyle name="Smart Title 2" xfId="55" xr:uid="{00000000-0005-0000-0000-000041000000}"/>
    <cellStyle name="Smart Total" xfId="52" xr:uid="{00000000-0005-0000-0000-000042000000}"/>
    <cellStyle name="Standaard" xfId="0" builtinId="0"/>
    <cellStyle name="Standaard 2" xfId="68" xr:uid="{00000000-0005-0000-0000-000043000000}"/>
    <cellStyle name="Standaard 2 2" xfId="69" xr:uid="{00000000-0005-0000-0000-000044000000}"/>
    <cellStyle name="Standaard 3" xfId="25" xr:uid="{00000000-0005-0000-0000-000045000000}"/>
    <cellStyle name="Titel 2" xfId="26" xr:uid="{00000000-0005-0000-0000-000046000000}"/>
    <cellStyle name="Totaal 2" xfId="41" xr:uid="{00000000-0005-0000-0000-000047000000}"/>
    <cellStyle name="Uitvoer 2" xfId="35" xr:uid="{00000000-0005-0000-0000-000048000000}"/>
    <cellStyle name="Valuta" xfId="2" builtinId="4"/>
    <cellStyle name="Valuta 2" xfId="73" xr:uid="{00000000-0005-0000-0000-000049000000}"/>
    <cellStyle name="Verklarende tekst 2" xfId="40" xr:uid="{00000000-0005-0000-0000-00004A000000}"/>
  </cellStyles>
  <dxfs count="9">
    <dxf>
      <font>
        <color rgb="FF9C0006"/>
      </font>
    </dxf>
    <dxf>
      <font>
        <color rgb="FF9C0006"/>
      </font>
    </dxf>
    <dxf>
      <font>
        <color rgb="FF9C0006"/>
      </font>
    </dxf>
    <dxf>
      <font>
        <color rgb="FF9C0006"/>
      </font>
    </dxf>
    <dxf>
      <font>
        <color rgb="FF9C0006"/>
      </font>
    </dxf>
    <dxf>
      <font>
        <color rgb="FF9C0006"/>
      </font>
    </dxf>
    <dxf>
      <font>
        <b val="0"/>
        <i val="0"/>
        <strike val="0"/>
        <condense val="0"/>
        <extend val="0"/>
        <outline val="0"/>
        <shadow val="0"/>
        <u val="none"/>
        <vertAlign val="baseline"/>
        <sz val="9"/>
        <color theme="1"/>
        <name val="Verdana"/>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Verdana"/>
        <scheme val="none"/>
      </font>
    </dxf>
    <dxf>
      <font>
        <b val="0"/>
        <i val="0"/>
        <strike val="0"/>
        <condense val="0"/>
        <extend val="0"/>
        <outline val="0"/>
        <shadow val="0"/>
        <u val="none"/>
        <vertAlign val="baseline"/>
        <sz val="9"/>
        <color theme="1"/>
        <name val="Verdana"/>
        <scheme val="none"/>
      </font>
    </dxf>
  </dxfs>
  <tableStyles count="0" defaultTableStyle="TableStyleMedium9" defaultPivotStyle="PivotStyleLight16"/>
  <colors>
    <mruColors>
      <color rgb="FF0037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0"/>
          <c:tx>
            <c:strRef>
              <c:f>Kasstromenoverzicht!$A$45</c:f>
              <c:strCache>
                <c:ptCount val="1"/>
                <c:pt idx="0">
                  <c:v>NETTO KASSTROOM</c:v>
                </c:pt>
              </c:strCache>
            </c:strRef>
          </c:tx>
          <c:spPr>
            <a:ln w="28575">
              <a:solidFill>
                <a:srgbClr val="FF0000"/>
              </a:solidFill>
            </a:ln>
          </c:spPr>
          <c:marker>
            <c:symbol val="circle"/>
            <c:size val="4"/>
            <c:spPr>
              <a:solidFill>
                <a:srgbClr val="FF0000"/>
              </a:solidFill>
            </c:spPr>
          </c:marker>
          <c:xVal>
            <c:numRef>
              <c:f>Kasstromenoverzicht!$B$2:$AA$2</c:f>
              <c:numCache>
                <c:formatCode>0</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xVal>
          <c:yVal>
            <c:numRef>
              <c:f>Kasstromenoverzicht!$B$45:$AA$45</c:f>
              <c:numCache>
                <c:formatCode>"€"#,##0_);[Red]\("€"#,##0\)</c:formatCode>
                <c:ptCount val="26"/>
                <c:pt idx="0">
                  <c:v>259710.74380165339</c:v>
                </c:pt>
                <c:pt idx="1">
                  <c:v>296190.10330578516</c:v>
                </c:pt>
                <c:pt idx="2">
                  <c:v>304487.76268595061</c:v>
                </c:pt>
                <c:pt idx="3">
                  <c:v>-33558.663778435002</c:v>
                </c:pt>
                <c:pt idx="4">
                  <c:v>-29998.703264539316</c:v>
                </c:pt>
                <c:pt idx="5">
                  <c:v>-25233.054575065176</c:v>
                </c:pt>
                <c:pt idx="6">
                  <c:v>-20638.252201927211</c:v>
                </c:pt>
                <c:pt idx="7">
                  <c:v>-16216.525253415477</c:v>
                </c:pt>
                <c:pt idx="8">
                  <c:v>-11961.752658615731</c:v>
                </c:pt>
                <c:pt idx="9">
                  <c:v>-7868.1439708888165</c:v>
                </c:pt>
                <c:pt idx="10">
                  <c:v>-3930.2495245967393</c:v>
                </c:pt>
                <c:pt idx="11">
                  <c:v>-142.97764957568734</c:v>
                </c:pt>
                <c:pt idx="12">
                  <c:v>3498.3782149921726</c:v>
                </c:pt>
                <c:pt idx="13">
                  <c:v>6998.098127205757</c:v>
                </c:pt>
                <c:pt idx="14">
                  <c:v>10359.9730261855</c:v>
                </c:pt>
                <c:pt idx="15">
                  <c:v>13587.209522935598</c:v>
                </c:pt>
                <c:pt idx="16">
                  <c:v>16127.594133292165</c:v>
                </c:pt>
                <c:pt idx="17">
                  <c:v>18389.333026623841</c:v>
                </c:pt>
                <c:pt idx="18">
                  <c:v>20519.157015019926</c:v>
                </c:pt>
                <c:pt idx="19">
                  <c:v>22512.832423498432</c:v>
                </c:pt>
                <c:pt idx="20">
                  <c:v>24361.93259802608</c:v>
                </c:pt>
                <c:pt idx="21">
                  <c:v>333638.35214142693</c:v>
                </c:pt>
                <c:pt idx="22">
                  <c:v>332993.93462767976</c:v>
                </c:pt>
                <c:pt idx="23">
                  <c:v>332129.42712497624</c:v>
                </c:pt>
                <c:pt idx="24">
                  <c:v>330918.18215919891</c:v>
                </c:pt>
                <c:pt idx="25">
                  <c:v>328846.46587942797</c:v>
                </c:pt>
              </c:numCache>
            </c:numRef>
          </c:yVal>
          <c:smooth val="0"/>
          <c:extLst>
            <c:ext xmlns:c16="http://schemas.microsoft.com/office/drawing/2014/chart" uri="{C3380CC4-5D6E-409C-BE32-E72D297353CC}">
              <c16:uniqueId val="{00000000-75A7-47D3-A264-349109927A45}"/>
            </c:ext>
          </c:extLst>
        </c:ser>
        <c:ser>
          <c:idx val="0"/>
          <c:order val="1"/>
          <c:tx>
            <c:strRef>
              <c:f>Kasstromenoverzicht!$A$46</c:f>
              <c:strCache>
                <c:ptCount val="1"/>
                <c:pt idx="0">
                  <c:v>KASPOSITIE</c:v>
                </c:pt>
              </c:strCache>
            </c:strRef>
          </c:tx>
          <c:spPr>
            <a:ln w="28575">
              <a:solidFill>
                <a:srgbClr val="0070C0"/>
              </a:solidFill>
            </a:ln>
          </c:spPr>
          <c:marker>
            <c:symbol val="circle"/>
            <c:size val="5"/>
            <c:spPr>
              <a:solidFill>
                <a:srgbClr val="0070C0"/>
              </a:solidFill>
            </c:spPr>
          </c:marker>
          <c:xVal>
            <c:numRef>
              <c:f>Kasstromenoverzicht!$B$2:$AA$2</c:f>
              <c:numCache>
                <c:formatCode>0</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xVal>
          <c:yVal>
            <c:numRef>
              <c:f>Kasstromenoverzicht!$B$46:$AA$46</c:f>
              <c:numCache>
                <c:formatCode>"€"#,##0_);[Red]\("€"#,##0\)</c:formatCode>
                <c:ptCount val="26"/>
                <c:pt idx="0">
                  <c:v>259710.74380165339</c:v>
                </c:pt>
                <c:pt idx="1">
                  <c:v>555900.8471074386</c:v>
                </c:pt>
                <c:pt idx="2">
                  <c:v>860388.60979338922</c:v>
                </c:pt>
                <c:pt idx="3">
                  <c:v>826829.94601495424</c:v>
                </c:pt>
                <c:pt idx="4">
                  <c:v>796831.24275041488</c:v>
                </c:pt>
                <c:pt idx="5">
                  <c:v>771598.18817534973</c:v>
                </c:pt>
                <c:pt idx="6">
                  <c:v>750959.93597342249</c:v>
                </c:pt>
                <c:pt idx="7">
                  <c:v>734743.41072000703</c:v>
                </c:pt>
                <c:pt idx="8">
                  <c:v>722781.65806139132</c:v>
                </c:pt>
                <c:pt idx="9">
                  <c:v>714913.51409050252</c:v>
                </c:pt>
                <c:pt idx="10">
                  <c:v>710983.26456590579</c:v>
                </c:pt>
                <c:pt idx="11">
                  <c:v>710840.28691633011</c:v>
                </c:pt>
                <c:pt idx="12">
                  <c:v>714338.66513132222</c:v>
                </c:pt>
                <c:pt idx="13">
                  <c:v>721336.76325852796</c:v>
                </c:pt>
                <c:pt idx="14">
                  <c:v>731696.73628471349</c:v>
                </c:pt>
                <c:pt idx="15">
                  <c:v>745283.94580764906</c:v>
                </c:pt>
                <c:pt idx="16">
                  <c:v>761411.53994094126</c:v>
                </c:pt>
                <c:pt idx="17">
                  <c:v>779800.87296756508</c:v>
                </c:pt>
                <c:pt idx="18">
                  <c:v>800320.02998258499</c:v>
                </c:pt>
                <c:pt idx="19">
                  <c:v>822832.86240608338</c:v>
                </c:pt>
                <c:pt idx="20">
                  <c:v>847194.7950041095</c:v>
                </c:pt>
                <c:pt idx="21">
                  <c:v>1180833.1471455365</c:v>
                </c:pt>
                <c:pt idx="22">
                  <c:v>1513827.0817732164</c:v>
                </c:pt>
                <c:pt idx="23">
                  <c:v>1845956.5088981926</c:v>
                </c:pt>
                <c:pt idx="24">
                  <c:v>2176874.6910573915</c:v>
                </c:pt>
                <c:pt idx="25">
                  <c:v>2505721.1569368197</c:v>
                </c:pt>
              </c:numCache>
            </c:numRef>
          </c:yVal>
          <c:smooth val="0"/>
          <c:extLst>
            <c:ext xmlns:c16="http://schemas.microsoft.com/office/drawing/2014/chart" uri="{C3380CC4-5D6E-409C-BE32-E72D297353CC}">
              <c16:uniqueId val="{00000001-75A7-47D3-A264-349109927A45}"/>
            </c:ext>
          </c:extLst>
        </c:ser>
        <c:dLbls>
          <c:showLegendKey val="0"/>
          <c:showVal val="0"/>
          <c:showCatName val="0"/>
          <c:showSerName val="0"/>
          <c:showPercent val="0"/>
          <c:showBubbleSize val="0"/>
        </c:dLbls>
        <c:axId val="163161600"/>
        <c:axId val="163163136"/>
      </c:scatterChart>
      <c:valAx>
        <c:axId val="163161600"/>
        <c:scaling>
          <c:orientation val="minMax"/>
          <c:max val="25"/>
          <c:min val="0"/>
        </c:scaling>
        <c:delete val="0"/>
        <c:axPos val="b"/>
        <c:numFmt formatCode="0" sourceLinked="1"/>
        <c:majorTickMark val="out"/>
        <c:minorTickMark val="none"/>
        <c:tickLblPos val="nextTo"/>
        <c:crossAx val="163163136"/>
        <c:crosses val="autoZero"/>
        <c:crossBetween val="midCat"/>
        <c:majorUnit val="1"/>
      </c:valAx>
      <c:valAx>
        <c:axId val="163163136"/>
        <c:scaling>
          <c:orientation val="minMax"/>
        </c:scaling>
        <c:delete val="0"/>
        <c:axPos val="l"/>
        <c:majorGridlines/>
        <c:numFmt formatCode="&quot;€&quot;#,##0_);[Red]\(&quot;€&quot;#,##0\)" sourceLinked="1"/>
        <c:majorTickMark val="out"/>
        <c:minorTickMark val="none"/>
        <c:tickLblPos val="nextTo"/>
        <c:crossAx val="163161600"/>
        <c:crosses val="autoZero"/>
        <c:crossBetween val="midCat"/>
      </c:valAx>
    </c:plotArea>
    <c:legend>
      <c:legendPos val="b"/>
      <c:overlay val="0"/>
    </c:legend>
    <c:plotVisOnly val="1"/>
    <c:dispBlanksAs val="gap"/>
    <c:showDLblsOverMax val="0"/>
  </c:chart>
  <c:txPr>
    <a:bodyPr/>
    <a:lstStyle/>
    <a:p>
      <a:pPr>
        <a:defRPr sz="900">
          <a:latin typeface="Verdana" pitchFamily="34" charset="0"/>
          <a:ea typeface="Verdana" pitchFamily="34" charset="0"/>
          <a:cs typeface="Verdana" pitchFamily="34" charset="0"/>
        </a:defRPr>
      </a:pPr>
      <a:endParaRPr lang="nl-NL"/>
    </a:p>
  </c:txPr>
  <c:printSettings>
    <c:headerFooter/>
    <c:pageMargins b="0.75000000000000844" l="0.70000000000000062" r="0.70000000000000062" t="0.750000000000008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1"/>
          <c:order val="0"/>
          <c:tx>
            <c:strRef>
              <c:f>'Winst-en-verliesrekening'!$A$32</c:f>
              <c:strCache>
                <c:ptCount val="1"/>
                <c:pt idx="0">
                  <c:v>WINST NA BELASTING</c:v>
                </c:pt>
              </c:strCache>
            </c:strRef>
          </c:tx>
          <c:spPr>
            <a:ln w="28575">
              <a:solidFill>
                <a:srgbClr val="FF0000"/>
              </a:solidFill>
            </a:ln>
          </c:spPr>
          <c:marker>
            <c:symbol val="circle"/>
            <c:size val="4"/>
            <c:spPr>
              <a:solidFill>
                <a:srgbClr val="FF0000"/>
              </a:solidFill>
            </c:spPr>
          </c:marker>
          <c:xVal>
            <c:numRef>
              <c:f>'Winst-en-verliesrekening'!$B$2:$AA$2</c:f>
              <c:numCache>
                <c:formatCode>0</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xVal>
          <c:yVal>
            <c:numRef>
              <c:f>'Winst-en-verliesrekening'!$B$32:$AA$32</c:f>
              <c:numCache>
                <c:formatCode>"€"#,##0_);[Red]\("€"#,##0\)</c:formatCode>
                <c:ptCount val="26"/>
                <c:pt idx="0">
                  <c:v>-60750</c:v>
                </c:pt>
                <c:pt idx="1">
                  <c:v>23272.454752066144</c:v>
                </c:pt>
                <c:pt idx="2">
                  <c:v>31575.067114462821</c:v>
                </c:pt>
                <c:pt idx="3">
                  <c:v>39618.721893997536</c:v>
                </c:pt>
                <c:pt idx="4">
                  <c:v>50420.944103567461</c:v>
                </c:pt>
                <c:pt idx="5">
                  <c:v>61021.046280467024</c:v>
                </c:pt>
                <c:pt idx="6">
                  <c:v>71430.489287342381</c:v>
                </c:pt>
                <c:pt idx="7">
                  <c:v>81696.948972706581</c:v>
                </c:pt>
                <c:pt idx="8">
                  <c:v>91831.039570795067</c:v>
                </c:pt>
                <c:pt idx="9">
                  <c:v>101843.41452289766</c:v>
                </c:pt>
                <c:pt idx="10">
                  <c:v>111744.86369666272</c:v>
                </c:pt>
                <c:pt idx="11">
                  <c:v>121546.4384817745</c:v>
                </c:pt>
                <c:pt idx="12">
                  <c:v>131259.61693243394</c:v>
                </c:pt>
                <c:pt idx="13">
                  <c:v>140896.52767008985</c:v>
                </c:pt>
                <c:pt idx="14">
                  <c:v>150470.26216573524</c:v>
                </c:pt>
                <c:pt idx="15">
                  <c:v>159995.32385953135</c:v>
                </c:pt>
                <c:pt idx="16">
                  <c:v>168933.60785764424</c:v>
                </c:pt>
                <c:pt idx="17">
                  <c:v>177711.50808631786</c:v>
                </c:pt>
                <c:pt idx="18">
                  <c:v>186500.08063726351</c:v>
                </c:pt>
                <c:pt idx="19">
                  <c:v>195329.08196078776</c:v>
                </c:pt>
                <c:pt idx="20">
                  <c:v>204240.20569473944</c:v>
                </c:pt>
                <c:pt idx="21">
                  <c:v>47455.252938674195</c:v>
                </c:pt>
                <c:pt idx="22">
                  <c:v>48506.904456255434</c:v>
                </c:pt>
                <c:pt idx="23">
                  <c:v>50037.734885731305</c:v>
                </c:pt>
                <c:pt idx="24">
                  <c:v>52598.868726087981</c:v>
                </c:pt>
                <c:pt idx="25">
                  <c:v>58390.456746979413</c:v>
                </c:pt>
              </c:numCache>
            </c:numRef>
          </c:yVal>
          <c:smooth val="0"/>
          <c:extLst>
            <c:ext xmlns:c16="http://schemas.microsoft.com/office/drawing/2014/chart" uri="{C3380CC4-5D6E-409C-BE32-E72D297353CC}">
              <c16:uniqueId val="{00000000-9F5F-433D-83C8-B8F216B3B890}"/>
            </c:ext>
          </c:extLst>
        </c:ser>
        <c:dLbls>
          <c:showLegendKey val="0"/>
          <c:showVal val="0"/>
          <c:showCatName val="0"/>
          <c:showSerName val="0"/>
          <c:showPercent val="0"/>
          <c:showBubbleSize val="0"/>
        </c:dLbls>
        <c:axId val="163708288"/>
        <c:axId val="163914880"/>
      </c:scatterChart>
      <c:valAx>
        <c:axId val="163708288"/>
        <c:scaling>
          <c:orientation val="minMax"/>
          <c:max val="25"/>
          <c:min val="0"/>
        </c:scaling>
        <c:delete val="0"/>
        <c:axPos val="b"/>
        <c:numFmt formatCode="0" sourceLinked="1"/>
        <c:majorTickMark val="out"/>
        <c:minorTickMark val="none"/>
        <c:tickLblPos val="nextTo"/>
        <c:crossAx val="163914880"/>
        <c:crosses val="autoZero"/>
        <c:crossBetween val="midCat"/>
        <c:majorUnit val="1"/>
      </c:valAx>
      <c:valAx>
        <c:axId val="163914880"/>
        <c:scaling>
          <c:orientation val="minMax"/>
        </c:scaling>
        <c:delete val="0"/>
        <c:axPos val="l"/>
        <c:majorGridlines/>
        <c:numFmt formatCode="&quot;€&quot;#,##0_);[Red]\(&quot;€&quot;#,##0\)" sourceLinked="1"/>
        <c:majorTickMark val="out"/>
        <c:minorTickMark val="none"/>
        <c:tickLblPos val="nextTo"/>
        <c:crossAx val="163708288"/>
        <c:crosses val="autoZero"/>
        <c:crossBetween val="midCat"/>
      </c:valAx>
    </c:plotArea>
    <c:legend>
      <c:legendPos val="b"/>
      <c:overlay val="0"/>
    </c:legend>
    <c:plotVisOnly val="1"/>
    <c:dispBlanksAs val="gap"/>
    <c:showDLblsOverMax val="0"/>
  </c:chart>
  <c:txPr>
    <a:bodyPr/>
    <a:lstStyle/>
    <a:p>
      <a:pPr>
        <a:defRPr sz="900">
          <a:latin typeface="Verdana" pitchFamily="34" charset="0"/>
          <a:ea typeface="Verdana" pitchFamily="34" charset="0"/>
          <a:cs typeface="Verdana" pitchFamily="34" charset="0"/>
        </a:defRPr>
      </a:pPr>
      <a:endParaRPr lang="nl-NL"/>
    </a:p>
  </c:txPr>
  <c:printSettings>
    <c:headerFooter/>
    <c:pageMargins b="0.75000000000000844" l="0.70000000000000062" r="0.70000000000000062" t="0.750000000000008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Penetratiegraad!$A$8</c:f>
          <c:strCache>
            <c:ptCount val="1"/>
            <c:pt idx="0">
              <c:v>Aantal deelnemers voor maandelijkse bijdrage</c:v>
            </c:pt>
          </c:strCache>
        </c:strRef>
      </c:tx>
      <c:overlay val="0"/>
    </c:title>
    <c:autoTitleDeleted val="0"/>
    <c:plotArea>
      <c:layout>
        <c:manualLayout>
          <c:layoutTarget val="inner"/>
          <c:xMode val="edge"/>
          <c:yMode val="edge"/>
          <c:x val="0.14970455782807801"/>
          <c:y val="0.12724120435730343"/>
          <c:w val="0.82237413827701"/>
          <c:h val="0.63866073908351251"/>
        </c:manualLayout>
      </c:layout>
      <c:lineChart>
        <c:grouping val="standard"/>
        <c:varyColors val="0"/>
        <c:ser>
          <c:idx val="0"/>
          <c:order val="0"/>
          <c:tx>
            <c:strRef>
              <c:f>Penetratiegraad!$A$9</c:f>
              <c:strCache>
                <c:ptCount val="1"/>
                <c:pt idx="0">
                  <c:v>Startdeelnemers</c:v>
                </c:pt>
              </c:strCache>
            </c:strRef>
          </c:tx>
          <c:spPr>
            <a:ln w="25400">
              <a:solidFill>
                <a:srgbClr val="FFC000"/>
              </a:solidFill>
            </a:ln>
          </c:spPr>
          <c:marker>
            <c:symbol val="none"/>
          </c:marker>
          <c:val>
            <c:numRef>
              <c:f>Penetratiegraad!$C$9:$AB$9</c:f>
              <c:numCache>
                <c:formatCode>0</c:formatCode>
                <c:ptCount val="26"/>
                <c:pt idx="0">
                  <c:v>750</c:v>
                </c:pt>
                <c:pt idx="1">
                  <c:v>750</c:v>
                </c:pt>
                <c:pt idx="2">
                  <c:v>750</c:v>
                </c:pt>
                <c:pt idx="3">
                  <c:v>750</c:v>
                </c:pt>
                <c:pt idx="4">
                  <c:v>750</c:v>
                </c:pt>
                <c:pt idx="5">
                  <c:v>750</c:v>
                </c:pt>
                <c:pt idx="6">
                  <c:v>750</c:v>
                </c:pt>
                <c:pt idx="7">
                  <c:v>750</c:v>
                </c:pt>
                <c:pt idx="8">
                  <c:v>750</c:v>
                </c:pt>
                <c:pt idx="9">
                  <c:v>750</c:v>
                </c:pt>
                <c:pt idx="10">
                  <c:v>750</c:v>
                </c:pt>
                <c:pt idx="11">
                  <c:v>750</c:v>
                </c:pt>
                <c:pt idx="12">
                  <c:v>750</c:v>
                </c:pt>
                <c:pt idx="13">
                  <c:v>750</c:v>
                </c:pt>
                <c:pt idx="14">
                  <c:v>750</c:v>
                </c:pt>
                <c:pt idx="15">
                  <c:v>750</c:v>
                </c:pt>
                <c:pt idx="16">
                  <c:v>750</c:v>
                </c:pt>
                <c:pt idx="17">
                  <c:v>750</c:v>
                </c:pt>
                <c:pt idx="18">
                  <c:v>750</c:v>
                </c:pt>
                <c:pt idx="19">
                  <c:v>750</c:v>
                </c:pt>
                <c:pt idx="20">
                  <c:v>750</c:v>
                </c:pt>
                <c:pt idx="21">
                  <c:v>0</c:v>
                </c:pt>
                <c:pt idx="22">
                  <c:v>0</c:v>
                </c:pt>
                <c:pt idx="23">
                  <c:v>0</c:v>
                </c:pt>
                <c:pt idx="24">
                  <c:v>0</c:v>
                </c:pt>
                <c:pt idx="25">
                  <c:v>0</c:v>
                </c:pt>
              </c:numCache>
            </c:numRef>
          </c:val>
          <c:smooth val="0"/>
          <c:extLst>
            <c:ext xmlns:c16="http://schemas.microsoft.com/office/drawing/2014/chart" uri="{C3380CC4-5D6E-409C-BE32-E72D297353CC}">
              <c16:uniqueId val="{00000000-8686-4C4C-84FE-57C1B389B280}"/>
            </c:ext>
          </c:extLst>
        </c:ser>
        <c:ser>
          <c:idx val="3"/>
          <c:order val="1"/>
          <c:tx>
            <c:strRef>
              <c:f>Penetratiegraad!$A$10</c:f>
              <c:strCache>
                <c:ptCount val="1"/>
                <c:pt idx="0">
                  <c:v>Na-aansluiters</c:v>
                </c:pt>
              </c:strCache>
            </c:strRef>
          </c:tx>
          <c:spPr>
            <a:ln w="25400">
              <a:solidFill>
                <a:srgbClr val="00B0F0"/>
              </a:solidFill>
            </a:ln>
          </c:spPr>
          <c:marker>
            <c:symbol val="none"/>
          </c:marker>
          <c:val>
            <c:numRef>
              <c:f>Penetratiegraad!$C$10:$AB$10</c:f>
              <c:numCache>
                <c:formatCode>0</c:formatCode>
                <c:ptCount val="26"/>
                <c:pt idx="0">
                  <c:v>0</c:v>
                </c:pt>
                <c:pt idx="1">
                  <c:v>15</c:v>
                </c:pt>
                <c:pt idx="2">
                  <c:v>29.400000000000091</c:v>
                </c:pt>
                <c:pt idx="3">
                  <c:v>43.224000000000046</c:v>
                </c:pt>
                <c:pt idx="4">
                  <c:v>56.495040000000017</c:v>
                </c:pt>
                <c:pt idx="5">
                  <c:v>69.235238399999957</c:v>
                </c:pt>
                <c:pt idx="6">
                  <c:v>81.465828864000059</c:v>
                </c:pt>
                <c:pt idx="7">
                  <c:v>93.207195709440043</c:v>
                </c:pt>
                <c:pt idx="8">
                  <c:v>104.47890788106236</c:v>
                </c:pt>
                <c:pt idx="9">
                  <c:v>115.29975156581986</c:v>
                </c:pt>
                <c:pt idx="10">
                  <c:v>125.68776150318718</c:v>
                </c:pt>
                <c:pt idx="11">
                  <c:v>135.66025104305959</c:v>
                </c:pt>
                <c:pt idx="12">
                  <c:v>145.23384100133717</c:v>
                </c:pt>
                <c:pt idx="13">
                  <c:v>154.4244873612837</c:v>
                </c:pt>
                <c:pt idx="14">
                  <c:v>163.24750786683239</c:v>
                </c:pt>
                <c:pt idx="15">
                  <c:v>171.71760755215905</c:v>
                </c:pt>
                <c:pt idx="16">
                  <c:v>179.84890325007268</c:v>
                </c:pt>
                <c:pt idx="17">
                  <c:v>187.65494712006978</c:v>
                </c:pt>
                <c:pt idx="18">
                  <c:v>195.14874923526702</c:v>
                </c:pt>
                <c:pt idx="19">
                  <c:v>202.34279926585646</c:v>
                </c:pt>
                <c:pt idx="20">
                  <c:v>209.24908729522213</c:v>
                </c:pt>
                <c:pt idx="21">
                  <c:v>200.87912380341334</c:v>
                </c:pt>
                <c:pt idx="22">
                  <c:v>192.84395885127662</c:v>
                </c:pt>
                <c:pt idx="23">
                  <c:v>185.1302004972257</c:v>
                </c:pt>
                <c:pt idx="24">
                  <c:v>177.72499247733663</c:v>
                </c:pt>
                <c:pt idx="25">
                  <c:v>170.61599277824325</c:v>
                </c:pt>
              </c:numCache>
            </c:numRef>
          </c:val>
          <c:smooth val="0"/>
          <c:extLst>
            <c:ext xmlns:c16="http://schemas.microsoft.com/office/drawing/2014/chart" uri="{C3380CC4-5D6E-409C-BE32-E72D297353CC}">
              <c16:uniqueId val="{00000003-8686-4C4C-84FE-57C1B389B280}"/>
            </c:ext>
          </c:extLst>
        </c:ser>
        <c:dLbls>
          <c:showLegendKey val="0"/>
          <c:showVal val="0"/>
          <c:showCatName val="0"/>
          <c:showSerName val="0"/>
          <c:showPercent val="0"/>
          <c:showBubbleSize val="0"/>
        </c:dLbls>
        <c:smooth val="0"/>
        <c:axId val="164380032"/>
        <c:axId val="164382208"/>
      </c:lineChart>
      <c:catAx>
        <c:axId val="164380032"/>
        <c:scaling>
          <c:orientation val="minMax"/>
        </c:scaling>
        <c:delete val="0"/>
        <c:axPos val="b"/>
        <c:title>
          <c:tx>
            <c:rich>
              <a:bodyPr/>
              <a:lstStyle/>
              <a:p>
                <a:pPr>
                  <a:defRPr/>
                </a:pPr>
                <a:r>
                  <a:rPr lang="en-US"/>
                  <a:t>Tijd (jaren)</a:t>
                </a:r>
              </a:p>
            </c:rich>
          </c:tx>
          <c:overlay val="0"/>
        </c:title>
        <c:majorTickMark val="out"/>
        <c:minorTickMark val="none"/>
        <c:tickLblPos val="nextTo"/>
        <c:crossAx val="164382208"/>
        <c:crosses val="autoZero"/>
        <c:auto val="1"/>
        <c:lblAlgn val="ctr"/>
        <c:lblOffset val="100"/>
        <c:noMultiLvlLbl val="0"/>
      </c:catAx>
      <c:valAx>
        <c:axId val="164382208"/>
        <c:scaling>
          <c:orientation val="minMax"/>
        </c:scaling>
        <c:delete val="0"/>
        <c:axPos val="l"/>
        <c:majorGridlines/>
        <c:title>
          <c:tx>
            <c:strRef>
              <c:f>Penetratiegraad!$A$8</c:f>
              <c:strCache>
                <c:ptCount val="1"/>
                <c:pt idx="0">
                  <c:v>Aantal deelnemers voor maandelijkse bijdrage</c:v>
                </c:pt>
              </c:strCache>
            </c:strRef>
          </c:tx>
          <c:overlay val="0"/>
          <c:txPr>
            <a:bodyPr rot="-5400000" vert="horz"/>
            <a:lstStyle/>
            <a:p>
              <a:pPr>
                <a:defRPr/>
              </a:pPr>
              <a:endParaRPr lang="nl-NL"/>
            </a:p>
          </c:txPr>
        </c:title>
        <c:numFmt formatCode="0" sourceLinked="1"/>
        <c:majorTickMark val="out"/>
        <c:minorTickMark val="none"/>
        <c:tickLblPos val="nextTo"/>
        <c:crossAx val="164380032"/>
        <c:crosses val="autoZero"/>
        <c:crossBetween val="between"/>
      </c:valAx>
    </c:plotArea>
    <c:legend>
      <c:legendPos val="b"/>
      <c:layout>
        <c:manualLayout>
          <c:xMode val="edge"/>
          <c:yMode val="edge"/>
          <c:x val="8.77306555530417E-2"/>
          <c:y val="0.87239767574768801"/>
          <c:w val="0.86768959504715604"/>
          <c:h val="0.1031641928136517"/>
        </c:manualLayout>
      </c:layout>
      <c:overlay val="0"/>
    </c:legend>
    <c:plotVisOnly val="1"/>
    <c:dispBlanksAs val="zero"/>
    <c:showDLblsOverMax val="0"/>
  </c:chart>
  <c:txPr>
    <a:bodyPr/>
    <a:lstStyle/>
    <a:p>
      <a:pPr>
        <a:defRPr sz="800">
          <a:latin typeface="Consolas" panose="020B0609020204030204" pitchFamily="49" charset="0"/>
          <a:cs typeface="Consolas" panose="020B0609020204030204" pitchFamily="49" charset="0"/>
        </a:defRPr>
      </a:pPr>
      <a:endParaRPr lang="nl-NL"/>
    </a:p>
  </c:txPr>
  <c:printSettings>
    <c:headerFooter/>
    <c:pageMargins b="0.75000000000000844" l="0.70000000000000062" r="0.70000000000000062" t="0.750000000000008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Penetratiegraad!$A$12</c:f>
          <c:strCache>
            <c:ptCount val="1"/>
            <c:pt idx="0">
              <c:v>Aantal nieuwe deelnemers voor eenmalige bijdrage</c:v>
            </c:pt>
          </c:strCache>
        </c:strRef>
      </c:tx>
      <c:overlay val="0"/>
    </c:title>
    <c:autoTitleDeleted val="0"/>
    <c:plotArea>
      <c:layout>
        <c:manualLayout>
          <c:layoutTarget val="inner"/>
          <c:xMode val="edge"/>
          <c:yMode val="edge"/>
          <c:x val="0.14970455782807801"/>
          <c:y val="0.12724120435730343"/>
          <c:w val="0.82237413827701"/>
          <c:h val="0.63866073908351251"/>
        </c:manualLayout>
      </c:layout>
      <c:lineChart>
        <c:grouping val="standard"/>
        <c:varyColors val="0"/>
        <c:ser>
          <c:idx val="0"/>
          <c:order val="0"/>
          <c:tx>
            <c:strRef>
              <c:f>Penetratiegraad!$A$13</c:f>
              <c:strCache>
                <c:ptCount val="1"/>
                <c:pt idx="0">
                  <c:v>Startdeelnemers</c:v>
                </c:pt>
              </c:strCache>
            </c:strRef>
          </c:tx>
          <c:spPr>
            <a:ln w="25400">
              <a:solidFill>
                <a:srgbClr val="FFC000"/>
              </a:solidFill>
            </a:ln>
          </c:spPr>
          <c:marker>
            <c:symbol val="none"/>
          </c:marker>
          <c:val>
            <c:numRef>
              <c:f>Penetratiegraad!$C$13:$AB$13</c:f>
              <c:numCache>
                <c:formatCode>0</c:formatCode>
                <c:ptCount val="26"/>
                <c:pt idx="0">
                  <c:v>750</c:v>
                </c:pt>
              </c:numCache>
            </c:numRef>
          </c:val>
          <c:smooth val="0"/>
          <c:extLst>
            <c:ext xmlns:c16="http://schemas.microsoft.com/office/drawing/2014/chart" uri="{C3380CC4-5D6E-409C-BE32-E72D297353CC}">
              <c16:uniqueId val="{00000000-ADA4-4C6B-9856-976C74DE8383}"/>
            </c:ext>
          </c:extLst>
        </c:ser>
        <c:ser>
          <c:idx val="3"/>
          <c:order val="1"/>
          <c:tx>
            <c:strRef>
              <c:f>Penetratiegraad!$A$14</c:f>
              <c:strCache>
                <c:ptCount val="1"/>
                <c:pt idx="0">
                  <c:v>Na-aansluiters</c:v>
                </c:pt>
              </c:strCache>
            </c:strRef>
          </c:tx>
          <c:spPr>
            <a:ln w="25400">
              <a:solidFill>
                <a:srgbClr val="00B0F0"/>
              </a:solidFill>
            </a:ln>
          </c:spPr>
          <c:marker>
            <c:symbol val="none"/>
          </c:marker>
          <c:val>
            <c:numRef>
              <c:f>Penetratiegraad!$C$14:$AB$14</c:f>
              <c:numCache>
                <c:formatCode>0</c:formatCode>
                <c:ptCount val="26"/>
                <c:pt idx="0">
                  <c:v>0</c:v>
                </c:pt>
                <c:pt idx="1">
                  <c:v>15</c:v>
                </c:pt>
                <c:pt idx="2">
                  <c:v>14.400000000000091</c:v>
                </c:pt>
                <c:pt idx="3">
                  <c:v>13.823999999999955</c:v>
                </c:pt>
                <c:pt idx="4">
                  <c:v>13.271039999999971</c:v>
                </c:pt>
                <c:pt idx="5">
                  <c:v>12.74019839999994</c:v>
                </c:pt>
                <c:pt idx="6">
                  <c:v>12.230590464000102</c:v>
                </c:pt>
                <c:pt idx="7">
                  <c:v>11.741366845439984</c:v>
                </c:pt>
                <c:pt idx="8">
                  <c:v>11.271712171622312</c:v>
                </c:pt>
                <c:pt idx="9">
                  <c:v>10.820843684757506</c:v>
                </c:pt>
                <c:pt idx="10">
                  <c:v>10.388009937367315</c:v>
                </c:pt>
                <c:pt idx="11">
                  <c:v>9.9724895398724129</c:v>
                </c:pt>
                <c:pt idx="12">
                  <c:v>9.5735899582775801</c:v>
                </c:pt>
                <c:pt idx="13">
                  <c:v>9.1906463599465269</c:v>
                </c:pt>
                <c:pt idx="14">
                  <c:v>8.8230205055486977</c:v>
                </c:pt>
                <c:pt idx="15">
                  <c:v>8.4700996853266588</c:v>
                </c:pt>
                <c:pt idx="16">
                  <c:v>8.1312956979136288</c:v>
                </c:pt>
                <c:pt idx="17">
                  <c:v>7.8060438699970973</c:v>
                </c:pt>
                <c:pt idx="18">
                  <c:v>7.4938021151972407</c:v>
                </c:pt>
                <c:pt idx="19">
                  <c:v>7.1940500305894375</c:v>
                </c:pt>
                <c:pt idx="20">
                  <c:v>6.906288029365669</c:v>
                </c:pt>
                <c:pt idx="21">
                  <c:v>6.6300365081912105</c:v>
                </c:pt>
                <c:pt idx="22">
                  <c:v>6.3648350478633802</c:v>
                </c:pt>
                <c:pt idx="23">
                  <c:v>6.1102416459490314</c:v>
                </c:pt>
                <c:pt idx="24">
                  <c:v>5.8658319801108973</c:v>
                </c:pt>
                <c:pt idx="25">
                  <c:v>5.631198700906566</c:v>
                </c:pt>
              </c:numCache>
            </c:numRef>
          </c:val>
          <c:smooth val="0"/>
          <c:extLst>
            <c:ext xmlns:c16="http://schemas.microsoft.com/office/drawing/2014/chart" uri="{C3380CC4-5D6E-409C-BE32-E72D297353CC}">
              <c16:uniqueId val="{00000003-ADA4-4C6B-9856-976C74DE8383}"/>
            </c:ext>
          </c:extLst>
        </c:ser>
        <c:dLbls>
          <c:showLegendKey val="0"/>
          <c:showVal val="0"/>
          <c:showCatName val="0"/>
          <c:showSerName val="0"/>
          <c:showPercent val="0"/>
          <c:showBubbleSize val="0"/>
        </c:dLbls>
        <c:smooth val="0"/>
        <c:axId val="164192256"/>
        <c:axId val="164194176"/>
      </c:lineChart>
      <c:catAx>
        <c:axId val="164192256"/>
        <c:scaling>
          <c:orientation val="minMax"/>
        </c:scaling>
        <c:delete val="0"/>
        <c:axPos val="b"/>
        <c:title>
          <c:tx>
            <c:rich>
              <a:bodyPr/>
              <a:lstStyle/>
              <a:p>
                <a:pPr>
                  <a:defRPr/>
                </a:pPr>
                <a:r>
                  <a:rPr lang="en-US"/>
                  <a:t>Tijd (jaren)</a:t>
                </a:r>
              </a:p>
            </c:rich>
          </c:tx>
          <c:overlay val="0"/>
        </c:title>
        <c:majorTickMark val="out"/>
        <c:minorTickMark val="none"/>
        <c:tickLblPos val="nextTo"/>
        <c:crossAx val="164194176"/>
        <c:crosses val="autoZero"/>
        <c:auto val="1"/>
        <c:lblAlgn val="ctr"/>
        <c:lblOffset val="100"/>
        <c:noMultiLvlLbl val="0"/>
      </c:catAx>
      <c:valAx>
        <c:axId val="164194176"/>
        <c:scaling>
          <c:orientation val="minMax"/>
        </c:scaling>
        <c:delete val="0"/>
        <c:axPos val="l"/>
        <c:majorGridlines/>
        <c:title>
          <c:tx>
            <c:strRef>
              <c:f>Penetratiegraad!$A$12</c:f>
              <c:strCache>
                <c:ptCount val="1"/>
                <c:pt idx="0">
                  <c:v>Aantal nieuwe deelnemers voor eenmalige bijdrage</c:v>
                </c:pt>
              </c:strCache>
            </c:strRef>
          </c:tx>
          <c:overlay val="0"/>
          <c:txPr>
            <a:bodyPr rot="-5400000" vert="horz"/>
            <a:lstStyle/>
            <a:p>
              <a:pPr>
                <a:defRPr/>
              </a:pPr>
              <a:endParaRPr lang="nl-NL"/>
            </a:p>
          </c:txPr>
        </c:title>
        <c:numFmt formatCode="0" sourceLinked="1"/>
        <c:majorTickMark val="out"/>
        <c:minorTickMark val="none"/>
        <c:tickLblPos val="nextTo"/>
        <c:crossAx val="164192256"/>
        <c:crosses val="autoZero"/>
        <c:crossBetween val="between"/>
      </c:valAx>
    </c:plotArea>
    <c:legend>
      <c:legendPos val="b"/>
      <c:layout>
        <c:manualLayout>
          <c:xMode val="edge"/>
          <c:yMode val="edge"/>
          <c:x val="8.77306555530417E-2"/>
          <c:y val="0.87239767574768801"/>
          <c:w val="0.86768959504715604"/>
          <c:h val="0.1031641928136517"/>
        </c:manualLayout>
      </c:layout>
      <c:overlay val="0"/>
    </c:legend>
    <c:plotVisOnly val="1"/>
    <c:dispBlanksAs val="zero"/>
    <c:showDLblsOverMax val="0"/>
  </c:chart>
  <c:txPr>
    <a:bodyPr/>
    <a:lstStyle/>
    <a:p>
      <a:pPr>
        <a:defRPr sz="800">
          <a:latin typeface="Consolas" panose="020B0609020204030204" pitchFamily="49" charset="0"/>
          <a:cs typeface="Consolas" panose="020B0609020204030204" pitchFamily="49" charset="0"/>
        </a:defRPr>
      </a:pPr>
      <a:endParaRPr lang="nl-NL"/>
    </a:p>
  </c:txPr>
  <c:printSettings>
    <c:headerFooter/>
    <c:pageMargins b="0.75000000000000844" l="0.70000000000000062" r="0.70000000000000062" t="0.750000000000008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Penetratie</a:t>
            </a:r>
          </a:p>
        </c:rich>
      </c:tx>
      <c:overlay val="0"/>
    </c:title>
    <c:autoTitleDeleted val="0"/>
    <c:plotArea>
      <c:layout>
        <c:manualLayout>
          <c:layoutTarget val="inner"/>
          <c:xMode val="edge"/>
          <c:yMode val="edge"/>
          <c:x val="0.11791365430715232"/>
          <c:y val="0.12724120435730343"/>
          <c:w val="0.75773664172463706"/>
          <c:h val="0.63866073908351251"/>
        </c:manualLayout>
      </c:layout>
      <c:lineChart>
        <c:grouping val="standard"/>
        <c:varyColors val="0"/>
        <c:ser>
          <c:idx val="3"/>
          <c:order val="1"/>
          <c:tx>
            <c:strRef>
              <c:f>Penetratiegraad!$A$5</c:f>
              <c:strCache>
                <c:ptCount val="1"/>
                <c:pt idx="0">
                  <c:v>Absolute penetratie</c:v>
                </c:pt>
              </c:strCache>
            </c:strRef>
          </c:tx>
          <c:spPr>
            <a:ln w="25400">
              <a:solidFill>
                <a:srgbClr val="00B0F0"/>
              </a:solidFill>
            </a:ln>
          </c:spPr>
          <c:marker>
            <c:symbol val="none"/>
          </c:marker>
          <c:val>
            <c:numRef>
              <c:f>Penetratiegraad!$C$5:$AB$5</c:f>
              <c:numCache>
                <c:formatCode>0</c:formatCode>
                <c:ptCount val="26"/>
                <c:pt idx="0">
                  <c:v>1500</c:v>
                </c:pt>
                <c:pt idx="1">
                  <c:v>1530</c:v>
                </c:pt>
                <c:pt idx="2">
                  <c:v>1558.8000000000002</c:v>
                </c:pt>
                <c:pt idx="3">
                  <c:v>1586.4480000000001</c:v>
                </c:pt>
                <c:pt idx="4">
                  <c:v>1612.99008</c:v>
                </c:pt>
                <c:pt idx="5">
                  <c:v>1638.4704767999999</c:v>
                </c:pt>
                <c:pt idx="6">
                  <c:v>1662.9316577280001</c:v>
                </c:pt>
                <c:pt idx="7">
                  <c:v>1686.4143914188801</c:v>
                </c:pt>
                <c:pt idx="8">
                  <c:v>1708.9578157621247</c:v>
                </c:pt>
                <c:pt idx="9">
                  <c:v>1730.5995031316397</c:v>
                </c:pt>
                <c:pt idx="10">
                  <c:v>1751.3755230063744</c:v>
                </c:pt>
                <c:pt idx="11">
                  <c:v>1771.3205020861192</c:v>
                </c:pt>
                <c:pt idx="12">
                  <c:v>1790.4676820026743</c:v>
                </c:pt>
                <c:pt idx="13">
                  <c:v>1808.8489747225674</c:v>
                </c:pt>
                <c:pt idx="14">
                  <c:v>1826.4950157336648</c:v>
                </c:pt>
                <c:pt idx="15">
                  <c:v>1843.4352151043181</c:v>
                </c:pt>
                <c:pt idx="16">
                  <c:v>1859.6978065001454</c:v>
                </c:pt>
                <c:pt idx="17">
                  <c:v>1875.3098942401396</c:v>
                </c:pt>
                <c:pt idx="18">
                  <c:v>1890.297498470534</c:v>
                </c:pt>
                <c:pt idx="19">
                  <c:v>1904.6855985317129</c:v>
                </c:pt>
                <c:pt idx="20">
                  <c:v>1918.4981745904443</c:v>
                </c:pt>
                <c:pt idx="21">
                  <c:v>1931.7582476068267</c:v>
                </c:pt>
                <c:pt idx="22">
                  <c:v>1944.4879177025534</c:v>
                </c:pt>
                <c:pt idx="23">
                  <c:v>1956.7084009944515</c:v>
                </c:pt>
                <c:pt idx="24">
                  <c:v>1968.4400649546733</c:v>
                </c:pt>
                <c:pt idx="25">
                  <c:v>1979.7024623564864</c:v>
                </c:pt>
              </c:numCache>
            </c:numRef>
          </c:val>
          <c:smooth val="0"/>
          <c:extLst>
            <c:ext xmlns:c16="http://schemas.microsoft.com/office/drawing/2014/chart" uri="{C3380CC4-5D6E-409C-BE32-E72D297353CC}">
              <c16:uniqueId val="{00000000-15C3-435B-9EBA-E63AB88E0E57}"/>
            </c:ext>
          </c:extLst>
        </c:ser>
        <c:dLbls>
          <c:showLegendKey val="0"/>
          <c:showVal val="0"/>
          <c:showCatName val="0"/>
          <c:showSerName val="0"/>
          <c:showPercent val="0"/>
          <c:showBubbleSize val="0"/>
        </c:dLbls>
        <c:marker val="1"/>
        <c:smooth val="0"/>
        <c:axId val="164505088"/>
        <c:axId val="164507008"/>
      </c:lineChart>
      <c:lineChart>
        <c:grouping val="standard"/>
        <c:varyColors val="0"/>
        <c:ser>
          <c:idx val="0"/>
          <c:order val="0"/>
          <c:tx>
            <c:strRef>
              <c:f>Penetratiegraad!$A$2</c:f>
              <c:strCache>
                <c:ptCount val="1"/>
                <c:pt idx="0">
                  <c:v>Relatieve penetratie</c:v>
                </c:pt>
              </c:strCache>
            </c:strRef>
          </c:tx>
          <c:spPr>
            <a:ln w="25400">
              <a:solidFill>
                <a:srgbClr val="FFC000"/>
              </a:solidFill>
            </a:ln>
          </c:spPr>
          <c:marker>
            <c:symbol val="none"/>
          </c:marker>
          <c:val>
            <c:numRef>
              <c:f>Penetratiegraad!$C$2:$AB$2</c:f>
              <c:numCache>
                <c:formatCode>0.0%</c:formatCode>
                <c:ptCount val="26"/>
                <c:pt idx="0">
                  <c:v>0.5</c:v>
                </c:pt>
                <c:pt idx="1">
                  <c:v>0.51</c:v>
                </c:pt>
                <c:pt idx="2">
                  <c:v>0.51960000000000006</c:v>
                </c:pt>
                <c:pt idx="3">
                  <c:v>0.52881600000000006</c:v>
                </c:pt>
                <c:pt idx="4">
                  <c:v>0.53766336000000003</c:v>
                </c:pt>
                <c:pt idx="5">
                  <c:v>0.54615682560000001</c:v>
                </c:pt>
                <c:pt idx="6">
                  <c:v>0.55431055257600004</c:v>
                </c:pt>
                <c:pt idx="7">
                  <c:v>0.56213813047296002</c:v>
                </c:pt>
                <c:pt idx="8">
                  <c:v>0.5696526052540416</c:v>
                </c:pt>
                <c:pt idx="9">
                  <c:v>0.57686650104387993</c:v>
                </c:pt>
                <c:pt idx="10">
                  <c:v>0.58379184100212478</c:v>
                </c:pt>
                <c:pt idx="11">
                  <c:v>0.59044016736203975</c:v>
                </c:pt>
                <c:pt idx="12">
                  <c:v>0.59682256066755812</c:v>
                </c:pt>
                <c:pt idx="13">
                  <c:v>0.60294965824085578</c:v>
                </c:pt>
                <c:pt idx="14">
                  <c:v>0.60883167191122156</c:v>
                </c:pt>
                <c:pt idx="15">
                  <c:v>0.61447840503477269</c:v>
                </c:pt>
                <c:pt idx="16">
                  <c:v>0.61989926883338176</c:v>
                </c:pt>
                <c:pt idx="17">
                  <c:v>0.6251032980800465</c:v>
                </c:pt>
                <c:pt idx="18">
                  <c:v>0.63009916615684469</c:v>
                </c:pt>
                <c:pt idx="19">
                  <c:v>0.63489519951057094</c:v>
                </c:pt>
                <c:pt idx="20">
                  <c:v>0.63949939153014812</c:v>
                </c:pt>
                <c:pt idx="21">
                  <c:v>0.64391941586894219</c:v>
                </c:pt>
                <c:pt idx="22">
                  <c:v>0.64816263923418449</c:v>
                </c:pt>
                <c:pt idx="23">
                  <c:v>0.65223613366481714</c:v>
                </c:pt>
                <c:pt idx="24">
                  <c:v>0.65614668831822442</c:v>
                </c:pt>
                <c:pt idx="25">
                  <c:v>0.6599008207854955</c:v>
                </c:pt>
              </c:numCache>
            </c:numRef>
          </c:val>
          <c:smooth val="0"/>
          <c:extLst>
            <c:ext xmlns:c16="http://schemas.microsoft.com/office/drawing/2014/chart" uri="{C3380CC4-5D6E-409C-BE32-E72D297353CC}">
              <c16:uniqueId val="{00000001-15C3-435B-9EBA-E63AB88E0E57}"/>
            </c:ext>
          </c:extLst>
        </c:ser>
        <c:dLbls>
          <c:showLegendKey val="0"/>
          <c:showVal val="0"/>
          <c:showCatName val="0"/>
          <c:showSerName val="0"/>
          <c:showPercent val="0"/>
          <c:showBubbleSize val="0"/>
        </c:dLbls>
        <c:marker val="1"/>
        <c:smooth val="0"/>
        <c:axId val="164523392"/>
        <c:axId val="164521472"/>
      </c:lineChart>
      <c:catAx>
        <c:axId val="164505088"/>
        <c:scaling>
          <c:orientation val="minMax"/>
        </c:scaling>
        <c:delete val="0"/>
        <c:axPos val="b"/>
        <c:title>
          <c:tx>
            <c:rich>
              <a:bodyPr/>
              <a:lstStyle/>
              <a:p>
                <a:pPr>
                  <a:defRPr/>
                </a:pPr>
                <a:r>
                  <a:rPr lang="en-US"/>
                  <a:t>Tijd (jaren)</a:t>
                </a:r>
              </a:p>
            </c:rich>
          </c:tx>
          <c:overlay val="0"/>
        </c:title>
        <c:majorTickMark val="out"/>
        <c:minorTickMark val="none"/>
        <c:tickLblPos val="nextTo"/>
        <c:crossAx val="164507008"/>
        <c:crosses val="autoZero"/>
        <c:auto val="1"/>
        <c:lblAlgn val="ctr"/>
        <c:lblOffset val="100"/>
        <c:noMultiLvlLbl val="0"/>
      </c:catAx>
      <c:valAx>
        <c:axId val="164507008"/>
        <c:scaling>
          <c:orientation val="minMax"/>
        </c:scaling>
        <c:delete val="0"/>
        <c:axPos val="l"/>
        <c:majorGridlines/>
        <c:title>
          <c:tx>
            <c:strRef>
              <c:f>Penetratiegraad!$A$5</c:f>
              <c:strCache>
                <c:ptCount val="1"/>
                <c:pt idx="0">
                  <c:v>Absolute penetratie</c:v>
                </c:pt>
              </c:strCache>
            </c:strRef>
          </c:tx>
          <c:overlay val="0"/>
          <c:txPr>
            <a:bodyPr rot="-5400000" vert="horz"/>
            <a:lstStyle/>
            <a:p>
              <a:pPr>
                <a:defRPr/>
              </a:pPr>
              <a:endParaRPr lang="nl-NL"/>
            </a:p>
          </c:txPr>
        </c:title>
        <c:numFmt formatCode="0" sourceLinked="1"/>
        <c:majorTickMark val="out"/>
        <c:minorTickMark val="none"/>
        <c:tickLblPos val="nextTo"/>
        <c:crossAx val="164505088"/>
        <c:crosses val="autoZero"/>
        <c:crossBetween val="between"/>
      </c:valAx>
      <c:valAx>
        <c:axId val="164521472"/>
        <c:scaling>
          <c:orientation val="minMax"/>
        </c:scaling>
        <c:delete val="0"/>
        <c:axPos val="r"/>
        <c:title>
          <c:tx>
            <c:strRef>
              <c:f>Penetratiegraad!$A$2</c:f>
              <c:strCache>
                <c:ptCount val="1"/>
                <c:pt idx="0">
                  <c:v>Relatieve penetratie</c:v>
                </c:pt>
              </c:strCache>
            </c:strRef>
          </c:tx>
          <c:overlay val="0"/>
          <c:txPr>
            <a:bodyPr rot="-5400000" vert="horz"/>
            <a:lstStyle/>
            <a:p>
              <a:pPr>
                <a:defRPr/>
              </a:pPr>
              <a:endParaRPr lang="nl-NL"/>
            </a:p>
          </c:txPr>
        </c:title>
        <c:numFmt formatCode="0.0%" sourceLinked="1"/>
        <c:majorTickMark val="out"/>
        <c:minorTickMark val="none"/>
        <c:tickLblPos val="nextTo"/>
        <c:crossAx val="164523392"/>
        <c:crosses val="max"/>
        <c:crossBetween val="between"/>
      </c:valAx>
      <c:catAx>
        <c:axId val="164523392"/>
        <c:scaling>
          <c:orientation val="minMax"/>
        </c:scaling>
        <c:delete val="1"/>
        <c:axPos val="b"/>
        <c:majorTickMark val="out"/>
        <c:minorTickMark val="none"/>
        <c:tickLblPos val="none"/>
        <c:crossAx val="164521472"/>
        <c:crosses val="autoZero"/>
        <c:auto val="1"/>
        <c:lblAlgn val="ctr"/>
        <c:lblOffset val="100"/>
        <c:noMultiLvlLbl val="0"/>
      </c:catAx>
    </c:plotArea>
    <c:legend>
      <c:legendPos val="b"/>
      <c:layout>
        <c:manualLayout>
          <c:xMode val="edge"/>
          <c:yMode val="edge"/>
          <c:x val="8.7730686867803997E-2"/>
          <c:y val="0.88054371956057564"/>
          <c:w val="0.86768959504715604"/>
          <c:h val="0.1031641928136517"/>
        </c:manualLayout>
      </c:layout>
      <c:overlay val="0"/>
    </c:legend>
    <c:plotVisOnly val="1"/>
    <c:dispBlanksAs val="zero"/>
    <c:showDLblsOverMax val="0"/>
  </c:chart>
  <c:txPr>
    <a:bodyPr/>
    <a:lstStyle/>
    <a:p>
      <a:pPr>
        <a:defRPr sz="800">
          <a:latin typeface="Consolas" panose="020B0609020204030204" pitchFamily="49" charset="0"/>
          <a:cs typeface="Consolas" panose="020B0609020204030204" pitchFamily="49" charset="0"/>
        </a:defRPr>
      </a:pPr>
      <a:endParaRPr lang="nl-NL"/>
    </a:p>
  </c:txPr>
  <c:printSettings>
    <c:headerFooter/>
    <c:pageMargins b="0.75000000000000844" l="0.70000000000000062" r="0.70000000000000062" t="0.750000000000008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122144</xdr:colOff>
      <xdr:row>50</xdr:row>
      <xdr:rowOff>76640</xdr:rowOff>
    </xdr:from>
    <xdr:to>
      <xdr:col>11</xdr:col>
      <xdr:colOff>617444</xdr:colOff>
      <xdr:row>77</xdr:row>
      <xdr:rowOff>118302</xdr:rowOff>
    </xdr:to>
    <xdr:graphicFrame macro="">
      <xdr:nvGraphicFramePr>
        <xdr:cNvPr id="6" name="Grafiek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361950</xdr:colOff>
      <xdr:row>34</xdr:row>
      <xdr:rowOff>47625</xdr:rowOff>
    </xdr:from>
    <xdr:to>
      <xdr:col>13</xdr:col>
      <xdr:colOff>990600</xdr:colOff>
      <xdr:row>55</xdr:row>
      <xdr:rowOff>41662</xdr:rowOff>
    </xdr:to>
    <xdr:graphicFrame macro="">
      <xdr:nvGraphicFramePr>
        <xdr:cNvPr id="2" name="Grafiek 1">
          <a:extLst>
            <a:ext uri="{FF2B5EF4-FFF2-40B4-BE49-F238E27FC236}">
              <a16:creationId xmlns:a16="http://schemas.microsoft.com/office/drawing/2014/main" id="{E926DCCA-0B2D-4FB8-86F1-EDAFC17D07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37</xdr:col>
      <xdr:colOff>145596</xdr:colOff>
      <xdr:row>4</xdr:row>
      <xdr:rowOff>65994</xdr:rowOff>
    </xdr:from>
    <xdr:to>
      <xdr:col>45</xdr:col>
      <xdr:colOff>272145</xdr:colOff>
      <xdr:row>14</xdr:row>
      <xdr:rowOff>0</xdr:rowOff>
    </xdr:to>
    <xdr:graphicFrame macro="">
      <xdr:nvGraphicFramePr>
        <xdr:cNvPr id="3" name="Grafiek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437030</xdr:colOff>
      <xdr:row>14</xdr:row>
      <xdr:rowOff>0</xdr:rowOff>
    </xdr:from>
    <xdr:to>
      <xdr:col>36</xdr:col>
      <xdr:colOff>563578</xdr:colOff>
      <xdr:row>29</xdr:row>
      <xdr:rowOff>159726</xdr:rowOff>
    </xdr:to>
    <xdr:graphicFrame macro="">
      <xdr:nvGraphicFramePr>
        <xdr:cNvPr id="4" name="Grafiek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435429</xdr:colOff>
      <xdr:row>0</xdr:row>
      <xdr:rowOff>149678</xdr:rowOff>
    </xdr:from>
    <xdr:to>
      <xdr:col>36</xdr:col>
      <xdr:colOff>561977</xdr:colOff>
      <xdr:row>13</xdr:row>
      <xdr:rowOff>0</xdr:rowOff>
    </xdr:to>
    <xdr:graphicFrame macro="">
      <xdr:nvGraphicFramePr>
        <xdr:cNvPr id="5" name="Grafiek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A1:A2" totalsRowShown="0" headerRowDxfId="8" dataDxfId="7">
  <autoFilter ref="A1:A2" xr:uid="{00000000-0009-0000-0100-000001000000}"/>
  <tableColumns count="1">
    <tableColumn id="2" xr3:uid="{00000000-0010-0000-0000-000002000000}" name="Toelichting" dataDxfId="6"/>
  </tableColumns>
  <tableStyleInfo name="TableStyleLight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B12"/>
  <sheetViews>
    <sheetView tabSelected="1" workbookViewId="0">
      <selection activeCell="A2" sqref="A2"/>
    </sheetView>
  </sheetViews>
  <sheetFormatPr defaultColWidth="0" defaultRowHeight="15" zeroHeight="1" x14ac:dyDescent="0.25"/>
  <cols>
    <col min="1" max="1" width="78.42578125" customWidth="1"/>
    <col min="2" max="2" width="0" hidden="1" customWidth="1"/>
    <col min="3" max="16384" width="9.140625" hidden="1"/>
  </cols>
  <sheetData>
    <row r="1" spans="1:1" x14ac:dyDescent="0.25">
      <c r="A1" s="44" t="s">
        <v>246</v>
      </c>
    </row>
    <row r="2" spans="1:1" ht="62.25" customHeight="1" x14ac:dyDescent="0.25">
      <c r="A2" s="45" t="s">
        <v>421</v>
      </c>
    </row>
    <row r="3" spans="1:1" hidden="1" x14ac:dyDescent="0.25">
      <c r="A3" s="44"/>
    </row>
    <row r="4" spans="1:1" hidden="1" x14ac:dyDescent="0.25">
      <c r="A4" s="44"/>
    </row>
    <row r="5" spans="1:1" hidden="1" x14ac:dyDescent="0.25">
      <c r="A5" s="44"/>
    </row>
    <row r="6" spans="1:1" hidden="1" x14ac:dyDescent="0.25">
      <c r="A6" s="44"/>
    </row>
    <row r="7" spans="1:1" hidden="1" x14ac:dyDescent="0.25">
      <c r="A7" s="44"/>
    </row>
    <row r="8" spans="1:1" hidden="1" x14ac:dyDescent="0.25">
      <c r="A8" s="44"/>
    </row>
    <row r="9" spans="1:1" hidden="1" x14ac:dyDescent="0.25"/>
    <row r="10" spans="1:1" hidden="1" x14ac:dyDescent="0.25"/>
    <row r="11" spans="1:1" hidden="1" x14ac:dyDescent="0.25"/>
    <row r="12" spans="1:1" hidden="1" x14ac:dyDescent="0.25"/>
  </sheetData>
  <sheetProtection algorithmName="SHA-512" hashValue="1LpbmTOTnn/lsc+Q2uM1nnUKmKfg9BmaeXx1j56arRV3KV0P27B1jikiZK0jcHIUm6VQYQH6O2Pd7VJWG/plew==" saltValue="ofn3LZ6FrbvIj9/s1GYlaA==" spinCount="100000" sheet="1" objects="1" scenarios="1"/>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K246"/>
  <sheetViews>
    <sheetView zoomScaleNormal="100" zoomScalePageLayoutView="130" workbookViewId="0">
      <selection activeCell="B38" sqref="B38"/>
    </sheetView>
  </sheetViews>
  <sheetFormatPr defaultColWidth="9.140625" defaultRowHeight="15" zeroHeight="1" x14ac:dyDescent="0.25"/>
  <cols>
    <col min="1" max="1" width="53" style="73" bestFit="1" customWidth="1"/>
    <col min="2" max="2" width="15.7109375" style="73" bestFit="1" customWidth="1"/>
    <col min="3" max="3" width="35.42578125" style="73" customWidth="1"/>
    <col min="4" max="4" width="17.140625" style="73" customWidth="1"/>
    <col min="5" max="5" width="51.28515625" style="73" bestFit="1" customWidth="1"/>
    <col min="6" max="6" width="3.5703125" style="73" bestFit="1" customWidth="1"/>
    <col min="7" max="7" width="31.7109375" style="73" bestFit="1" customWidth="1"/>
    <col min="8" max="8" width="32.5703125" style="73" bestFit="1" customWidth="1"/>
    <col min="9" max="9" width="33.42578125" style="73" bestFit="1" customWidth="1"/>
    <col min="10" max="10" width="34.5703125" style="73" bestFit="1" customWidth="1"/>
    <col min="11" max="11" width="33.85546875" style="73" bestFit="1" customWidth="1"/>
    <col min="12" max="16384" width="9.140625" style="76"/>
  </cols>
  <sheetData>
    <row r="1" spans="1:11" ht="15.75" thickBot="1" x14ac:dyDescent="0.3">
      <c r="D1" s="74"/>
      <c r="E1" s="75"/>
    </row>
    <row r="2" spans="1:11" ht="15.75" thickBot="1" x14ac:dyDescent="0.3">
      <c r="B2" s="77" t="s">
        <v>26</v>
      </c>
      <c r="C2" s="132" t="s">
        <v>387</v>
      </c>
      <c r="D2" s="74" t="s">
        <v>248</v>
      </c>
      <c r="E2" s="78">
        <f>MIN(Kasstromenoverzicht!B46:AA46)</f>
        <v>259710.74380165339</v>
      </c>
      <c r="K2" s="79"/>
    </row>
    <row r="3" spans="1:11" ht="15.75" thickBot="1" x14ac:dyDescent="0.3"/>
    <row r="4" spans="1:11" ht="15.75" thickBot="1" x14ac:dyDescent="0.3">
      <c r="A4" s="80" t="s">
        <v>0</v>
      </c>
      <c r="B4" s="80" t="s">
        <v>1</v>
      </c>
      <c r="C4" s="80" t="s">
        <v>2</v>
      </c>
      <c r="D4" s="80" t="s">
        <v>3</v>
      </c>
      <c r="E4" s="80" t="s">
        <v>4</v>
      </c>
      <c r="F4" s="81">
        <v>1</v>
      </c>
      <c r="G4" s="140" t="s">
        <v>387</v>
      </c>
      <c r="H4" s="140" t="s">
        <v>388</v>
      </c>
      <c r="I4" s="140" t="s">
        <v>389</v>
      </c>
      <c r="J4" s="140" t="s">
        <v>390</v>
      </c>
      <c r="K4" s="141" t="s">
        <v>391</v>
      </c>
    </row>
    <row r="5" spans="1:11" x14ac:dyDescent="0.25">
      <c r="A5" s="82"/>
      <c r="B5" s="82"/>
      <c r="C5" s="82"/>
      <c r="D5" s="82"/>
      <c r="E5" s="82"/>
      <c r="F5" s="83"/>
      <c r="G5" s="133"/>
      <c r="H5" s="133"/>
      <c r="I5" s="133"/>
      <c r="J5" s="133"/>
      <c r="K5" s="133"/>
    </row>
    <row r="6" spans="1:11" ht="15.75" x14ac:dyDescent="0.25">
      <c r="A6" s="84" t="s">
        <v>397</v>
      </c>
      <c r="B6" s="85"/>
      <c r="C6" s="85"/>
      <c r="D6" s="85"/>
      <c r="E6" s="85"/>
      <c r="F6" s="86"/>
      <c r="G6" s="134"/>
      <c r="H6" s="134"/>
      <c r="I6" s="134"/>
      <c r="J6" s="134"/>
      <c r="K6" s="134"/>
    </row>
    <row r="7" spans="1:11" x14ac:dyDescent="0.25">
      <c r="A7" s="87" t="s">
        <v>414</v>
      </c>
      <c r="B7" s="88">
        <f>HLOOKUP($C$2,$G$4:$K$1061,F7,FALSE)</f>
        <v>3000</v>
      </c>
      <c r="C7" s="87" t="s">
        <v>23</v>
      </c>
      <c r="D7" s="87" t="s">
        <v>413</v>
      </c>
      <c r="E7" s="87"/>
      <c r="F7" s="89">
        <f>ROW(C7)-3</f>
        <v>4</v>
      </c>
      <c r="G7" s="136">
        <v>3000</v>
      </c>
      <c r="H7" s="136">
        <v>10000</v>
      </c>
      <c r="I7" s="136"/>
      <c r="J7" s="136"/>
      <c r="K7" s="136"/>
    </row>
    <row r="8" spans="1:11" x14ac:dyDescent="0.25">
      <c r="A8" s="87" t="s">
        <v>11</v>
      </c>
      <c r="B8" s="90">
        <f>HLOOKUP($C$2,$G$4:$K$1061,F8,FALSE)</f>
        <v>0.5</v>
      </c>
      <c r="C8" s="87" t="s">
        <v>21</v>
      </c>
      <c r="D8" s="87" t="s">
        <v>27</v>
      </c>
      <c r="E8" s="87"/>
      <c r="F8" s="89">
        <f>ROW(C8)-3</f>
        <v>5</v>
      </c>
      <c r="G8" s="142">
        <v>0.5</v>
      </c>
      <c r="H8" s="142">
        <v>0.4</v>
      </c>
      <c r="I8" s="142"/>
      <c r="J8" s="142"/>
      <c r="K8" s="142"/>
    </row>
    <row r="9" spans="1:11" x14ac:dyDescent="0.25">
      <c r="A9" s="91" t="s">
        <v>406</v>
      </c>
      <c r="B9" s="92">
        <f>HLOOKUP($C$2,$G$4:$K$1061,F9,FALSE)</f>
        <v>0.75</v>
      </c>
      <c r="C9" s="91" t="s">
        <v>64</v>
      </c>
      <c r="D9" s="91" t="s">
        <v>27</v>
      </c>
      <c r="E9" s="91"/>
      <c r="F9" s="93">
        <f>ROW(C9)-3</f>
        <v>6</v>
      </c>
      <c r="G9" s="142">
        <v>0.75</v>
      </c>
      <c r="H9" s="142">
        <v>0.7</v>
      </c>
      <c r="I9" s="142"/>
      <c r="J9" s="142"/>
      <c r="K9" s="142"/>
    </row>
    <row r="10" spans="1:11" x14ac:dyDescent="0.25">
      <c r="A10" s="94" t="s">
        <v>12</v>
      </c>
      <c r="B10" s="95">
        <f>HLOOKUP($C$2,$G$4:$K$1061,F10,FALSE)</f>
        <v>0.04</v>
      </c>
      <c r="C10" s="94" t="s">
        <v>22</v>
      </c>
      <c r="D10" s="94" t="s">
        <v>8</v>
      </c>
      <c r="E10" s="94" t="s">
        <v>66</v>
      </c>
      <c r="F10" s="86">
        <f>ROW(C10)-3</f>
        <v>7</v>
      </c>
      <c r="G10" s="143">
        <v>0.04</v>
      </c>
      <c r="H10" s="143">
        <v>0.05</v>
      </c>
      <c r="I10" s="143"/>
      <c r="J10" s="143"/>
      <c r="K10" s="143"/>
    </row>
    <row r="11" spans="1:11" x14ac:dyDescent="0.25">
      <c r="A11" s="87"/>
      <c r="B11" s="90"/>
      <c r="C11" s="87"/>
      <c r="D11" s="87"/>
      <c r="E11" s="87"/>
      <c r="F11" s="89"/>
      <c r="G11" s="142"/>
      <c r="H11" s="142"/>
      <c r="I11" s="142"/>
      <c r="J11" s="142"/>
      <c r="K11" s="142"/>
    </row>
    <row r="12" spans="1:11" ht="15.75" x14ac:dyDescent="0.25">
      <c r="A12" s="84" t="s">
        <v>398</v>
      </c>
      <c r="B12" s="95"/>
      <c r="C12" s="94"/>
      <c r="D12" s="94"/>
      <c r="E12" s="94"/>
      <c r="F12" s="86"/>
      <c r="G12" s="143"/>
      <c r="H12" s="143"/>
      <c r="I12" s="143"/>
      <c r="J12" s="143"/>
      <c r="K12" s="143"/>
    </row>
    <row r="13" spans="1:11" x14ac:dyDescent="0.25">
      <c r="A13" s="96" t="s">
        <v>14</v>
      </c>
      <c r="B13" s="97">
        <f t="shared" ref="B13:B20" si="0">HLOOKUP($C$2,$G$4:$K$1061,F13,FALSE)</f>
        <v>2500</v>
      </c>
      <c r="C13" s="96" t="s">
        <v>19</v>
      </c>
      <c r="D13" s="96" t="s">
        <v>415</v>
      </c>
      <c r="E13" s="96"/>
      <c r="F13" s="83">
        <f>ROW(C13)-3</f>
        <v>10</v>
      </c>
      <c r="G13" s="144">
        <v>2500</v>
      </c>
      <c r="H13" s="144">
        <v>1600</v>
      </c>
      <c r="I13" s="144"/>
      <c r="J13" s="144"/>
      <c r="K13" s="144"/>
    </row>
    <row r="14" spans="1:11" x14ac:dyDescent="0.25">
      <c r="A14" s="94" t="s">
        <v>15</v>
      </c>
      <c r="B14" s="98">
        <f t="shared" si="0"/>
        <v>75000</v>
      </c>
      <c r="C14" s="94" t="s">
        <v>20</v>
      </c>
      <c r="D14" s="94" t="s">
        <v>6</v>
      </c>
      <c r="E14" s="94" t="s">
        <v>5</v>
      </c>
      <c r="F14" s="86">
        <f>ROW(C14)-3</f>
        <v>11</v>
      </c>
      <c r="G14" s="145">
        <v>75000</v>
      </c>
      <c r="H14" s="145">
        <v>125000</v>
      </c>
      <c r="I14" s="145"/>
      <c r="J14" s="145"/>
      <c r="K14" s="145"/>
    </row>
    <row r="15" spans="1:11" x14ac:dyDescent="0.25">
      <c r="A15" s="87" t="s">
        <v>405</v>
      </c>
      <c r="B15" s="99">
        <f t="shared" si="0"/>
        <v>75000</v>
      </c>
      <c r="C15" s="87" t="s">
        <v>17</v>
      </c>
      <c r="D15" s="87" t="s">
        <v>386</v>
      </c>
      <c r="E15" s="87"/>
      <c r="F15" s="89">
        <f>ROW(C15)-3</f>
        <v>12</v>
      </c>
      <c r="G15" s="146">
        <v>75000</v>
      </c>
      <c r="H15" s="146">
        <v>125000</v>
      </c>
      <c r="I15" s="146"/>
      <c r="J15" s="146"/>
      <c r="K15" s="146"/>
    </row>
    <row r="16" spans="1:11" x14ac:dyDescent="0.25">
      <c r="A16" s="91" t="s">
        <v>63</v>
      </c>
      <c r="B16" s="100">
        <f t="shared" si="0"/>
        <v>1.4999999999999999E-2</v>
      </c>
      <c r="C16" s="91" t="s">
        <v>61</v>
      </c>
      <c r="D16" s="91" t="s">
        <v>8</v>
      </c>
      <c r="E16" s="91" t="s">
        <v>60</v>
      </c>
      <c r="F16" s="93">
        <f t="shared" ref="F16:F18" si="1">ROW(C16)-3</f>
        <v>13</v>
      </c>
      <c r="G16" s="147">
        <v>1.4999999999999999E-2</v>
      </c>
      <c r="H16" s="147">
        <v>1.4999999999999999E-2</v>
      </c>
      <c r="I16" s="147"/>
      <c r="J16" s="147"/>
      <c r="K16" s="147"/>
    </row>
    <row r="17" spans="1:11" x14ac:dyDescent="0.25">
      <c r="A17" s="91" t="s">
        <v>403</v>
      </c>
      <c r="B17" s="101">
        <f t="shared" si="0"/>
        <v>7.5</v>
      </c>
      <c r="C17" s="91" t="s">
        <v>18</v>
      </c>
      <c r="D17" s="91" t="s">
        <v>416</v>
      </c>
      <c r="E17" s="91"/>
      <c r="F17" s="93">
        <f t="shared" si="1"/>
        <v>14</v>
      </c>
      <c r="G17" s="148">
        <v>7.5</v>
      </c>
      <c r="H17" s="148">
        <v>6</v>
      </c>
      <c r="I17" s="148"/>
      <c r="J17" s="148"/>
      <c r="K17" s="148"/>
    </row>
    <row r="18" spans="1:11" x14ac:dyDescent="0.25">
      <c r="A18" s="91" t="s">
        <v>345</v>
      </c>
      <c r="B18" s="100">
        <f t="shared" si="0"/>
        <v>1.4999999999999999E-2</v>
      </c>
      <c r="C18" s="91" t="s">
        <v>62</v>
      </c>
      <c r="D18" s="91" t="s">
        <v>8</v>
      </c>
      <c r="E18" s="91" t="s">
        <v>60</v>
      </c>
      <c r="F18" s="93">
        <f t="shared" si="1"/>
        <v>15</v>
      </c>
      <c r="G18" s="147">
        <v>1.4999999999999999E-2</v>
      </c>
      <c r="H18" s="147">
        <v>1.6E-2</v>
      </c>
      <c r="I18" s="147"/>
      <c r="J18" s="147"/>
      <c r="K18" s="147"/>
    </row>
    <row r="19" spans="1:11" x14ac:dyDescent="0.25">
      <c r="A19" s="91" t="s">
        <v>404</v>
      </c>
      <c r="B19" s="102">
        <f t="shared" si="0"/>
        <v>10000</v>
      </c>
      <c r="C19" s="91" t="s">
        <v>384</v>
      </c>
      <c r="D19" s="91" t="s">
        <v>386</v>
      </c>
      <c r="E19" s="91"/>
      <c r="F19" s="93">
        <f t="shared" ref="F19:F20" si="2">ROW(C19)-3</f>
        <v>16</v>
      </c>
      <c r="G19" s="149">
        <v>10000</v>
      </c>
      <c r="H19" s="149">
        <v>30000</v>
      </c>
      <c r="I19" s="149"/>
      <c r="J19" s="149"/>
      <c r="K19" s="149"/>
    </row>
    <row r="20" spans="1:11" x14ac:dyDescent="0.25">
      <c r="A20" s="94" t="s">
        <v>383</v>
      </c>
      <c r="B20" s="103">
        <f t="shared" si="0"/>
        <v>1.4999999999999999E-2</v>
      </c>
      <c r="C20" s="94" t="s">
        <v>385</v>
      </c>
      <c r="D20" s="94" t="s">
        <v>8</v>
      </c>
      <c r="E20" s="94" t="s">
        <v>60</v>
      </c>
      <c r="F20" s="86">
        <f t="shared" si="2"/>
        <v>17</v>
      </c>
      <c r="G20" s="150">
        <v>1.4999999999999999E-2</v>
      </c>
      <c r="H20" s="150">
        <v>1.4999999999999999E-2</v>
      </c>
      <c r="I20" s="150"/>
      <c r="J20" s="150"/>
      <c r="K20" s="150"/>
    </row>
    <row r="21" spans="1:11" x14ac:dyDescent="0.25">
      <c r="A21" s="87"/>
      <c r="B21" s="99"/>
      <c r="C21" s="87"/>
      <c r="D21" s="87"/>
      <c r="E21" s="87"/>
      <c r="F21" s="93"/>
      <c r="G21" s="149"/>
      <c r="H21" s="149"/>
      <c r="I21" s="149"/>
      <c r="J21" s="149"/>
      <c r="K21" s="149"/>
    </row>
    <row r="22" spans="1:11" ht="15.75" x14ac:dyDescent="0.25">
      <c r="A22" s="84" t="s">
        <v>399</v>
      </c>
      <c r="B22" s="95"/>
      <c r="C22" s="94"/>
      <c r="D22" s="94"/>
      <c r="E22" s="94"/>
      <c r="F22" s="86"/>
      <c r="G22" s="143"/>
      <c r="H22" s="143"/>
      <c r="I22" s="143"/>
      <c r="J22" s="143"/>
      <c r="K22" s="143"/>
    </row>
    <row r="23" spans="1:11" x14ac:dyDescent="0.25">
      <c r="A23" s="87" t="s">
        <v>346</v>
      </c>
      <c r="B23" s="104">
        <f t="shared" ref="B23:B36" si="3">HLOOKUP($C$2,$G$4:$K$1061,F23,FALSE)</f>
        <v>19</v>
      </c>
      <c r="C23" s="87" t="s">
        <v>282</v>
      </c>
      <c r="D23" s="87" t="s">
        <v>417</v>
      </c>
      <c r="E23" s="87"/>
      <c r="F23" s="89">
        <f t="shared" ref="F23:F68" si="4">ROW(C23)-3</f>
        <v>20</v>
      </c>
      <c r="G23" s="151">
        <v>19</v>
      </c>
      <c r="H23" s="151">
        <v>19</v>
      </c>
      <c r="I23" s="151"/>
      <c r="J23" s="151"/>
      <c r="K23" s="151"/>
    </row>
    <row r="24" spans="1:11" x14ac:dyDescent="0.25">
      <c r="A24" s="87" t="s">
        <v>284</v>
      </c>
      <c r="B24" s="100">
        <f t="shared" si="3"/>
        <v>0</v>
      </c>
      <c r="C24" s="87" t="s">
        <v>283</v>
      </c>
      <c r="D24" s="91" t="s">
        <v>8</v>
      </c>
      <c r="E24" s="91" t="s">
        <v>60</v>
      </c>
      <c r="F24" s="93">
        <f t="shared" si="4"/>
        <v>21</v>
      </c>
      <c r="G24" s="150">
        <v>0</v>
      </c>
      <c r="H24" s="150">
        <v>0</v>
      </c>
      <c r="I24" s="150"/>
      <c r="J24" s="150"/>
      <c r="K24" s="150"/>
    </row>
    <row r="25" spans="1:11" x14ac:dyDescent="0.25">
      <c r="A25" s="105" t="s">
        <v>318</v>
      </c>
      <c r="B25" s="106">
        <f t="shared" si="3"/>
        <v>1446.2809917355373</v>
      </c>
      <c r="C25" s="105" t="s">
        <v>326</v>
      </c>
      <c r="D25" s="105" t="s">
        <v>418</v>
      </c>
      <c r="E25" s="105"/>
      <c r="F25" s="107">
        <f t="shared" si="4"/>
        <v>22</v>
      </c>
      <c r="G25" s="152">
        <f>1750/1.21</f>
        <v>1446.2809917355373</v>
      </c>
      <c r="H25" s="152">
        <v>0</v>
      </c>
      <c r="I25" s="152"/>
      <c r="J25" s="152"/>
      <c r="K25" s="152"/>
    </row>
    <row r="26" spans="1:11" x14ac:dyDescent="0.25">
      <c r="A26" s="108" t="s">
        <v>392</v>
      </c>
      <c r="B26" s="109">
        <f t="shared" si="3"/>
        <v>12.396694214876034</v>
      </c>
      <c r="C26" s="108" t="s">
        <v>327</v>
      </c>
      <c r="D26" s="108" t="s">
        <v>417</v>
      </c>
      <c r="E26" s="108"/>
      <c r="F26" s="71">
        <f t="shared" si="4"/>
        <v>23</v>
      </c>
      <c r="G26" s="153">
        <f>15/1.21</f>
        <v>12.396694214876034</v>
      </c>
      <c r="H26" s="153">
        <f>10/1.21</f>
        <v>8.2644628099173563</v>
      </c>
      <c r="I26" s="153"/>
      <c r="J26" s="153"/>
      <c r="K26" s="153"/>
    </row>
    <row r="27" spans="1:11" x14ac:dyDescent="0.25">
      <c r="A27" s="108" t="s">
        <v>319</v>
      </c>
      <c r="B27" s="110">
        <f t="shared" si="3"/>
        <v>1.4999999999999999E-2</v>
      </c>
      <c r="C27" s="108" t="s">
        <v>328</v>
      </c>
      <c r="D27" s="108" t="s">
        <v>8</v>
      </c>
      <c r="E27" s="108" t="s">
        <v>60</v>
      </c>
      <c r="F27" s="71">
        <f t="shared" si="4"/>
        <v>24</v>
      </c>
      <c r="G27" s="154">
        <v>1.4999999999999999E-2</v>
      </c>
      <c r="H27" s="154">
        <v>1.4999999999999999E-2</v>
      </c>
      <c r="I27" s="154"/>
      <c r="J27" s="154"/>
      <c r="K27" s="154"/>
    </row>
    <row r="28" spans="1:11" s="114" customFormat="1" x14ac:dyDescent="0.25">
      <c r="A28" s="111" t="s">
        <v>320</v>
      </c>
      <c r="B28" s="112">
        <f t="shared" si="3"/>
        <v>20</v>
      </c>
      <c r="C28" s="111" t="s">
        <v>329</v>
      </c>
      <c r="D28" s="111" t="s">
        <v>7</v>
      </c>
      <c r="E28" s="111"/>
      <c r="F28" s="71">
        <f t="shared" si="4"/>
        <v>25</v>
      </c>
      <c r="G28" s="139">
        <v>20</v>
      </c>
      <c r="H28" s="139">
        <v>20</v>
      </c>
      <c r="I28" s="139"/>
      <c r="J28" s="139"/>
      <c r="K28" s="139"/>
    </row>
    <row r="29" spans="1:11" s="114" customFormat="1" x14ac:dyDescent="0.25">
      <c r="A29" s="108" t="s">
        <v>355</v>
      </c>
      <c r="B29" s="115">
        <f t="shared" si="3"/>
        <v>0.5</v>
      </c>
      <c r="C29" s="108" t="s">
        <v>356</v>
      </c>
      <c r="D29" s="111" t="s">
        <v>419</v>
      </c>
      <c r="E29" s="108"/>
      <c r="F29" s="71">
        <f>ROW(C29)-3</f>
        <v>26</v>
      </c>
      <c r="G29" s="155">
        <v>0.5</v>
      </c>
      <c r="H29" s="155">
        <v>0</v>
      </c>
      <c r="I29" s="155"/>
      <c r="J29" s="155"/>
      <c r="K29" s="155"/>
    </row>
    <row r="30" spans="1:11" x14ac:dyDescent="0.25">
      <c r="A30" s="108" t="s">
        <v>354</v>
      </c>
      <c r="B30" s="115">
        <f t="shared" si="3"/>
        <v>0.5</v>
      </c>
      <c r="C30" s="108" t="s">
        <v>357</v>
      </c>
      <c r="D30" s="108" t="s">
        <v>420</v>
      </c>
      <c r="E30" s="108"/>
      <c r="F30" s="71">
        <f>ROW(C30)-3</f>
        <v>27</v>
      </c>
      <c r="G30" s="70">
        <f>IF(G29="","",1-G29)</f>
        <v>0.5</v>
      </c>
      <c r="H30" s="70">
        <f>IF(H29="","",1-H29)</f>
        <v>1</v>
      </c>
      <c r="I30" s="70" t="str">
        <f>IF(I29="","",1-I29)</f>
        <v/>
      </c>
      <c r="J30" s="70" t="str">
        <f>IF(J29="","",1-J29)</f>
        <v/>
      </c>
      <c r="K30" s="70" t="str">
        <f>IF(K29="","",1-K29)</f>
        <v/>
      </c>
    </row>
    <row r="31" spans="1:11" x14ac:dyDescent="0.25">
      <c r="A31" s="96" t="s">
        <v>285</v>
      </c>
      <c r="B31" s="116">
        <f t="shared" si="3"/>
        <v>1446.2809917355373</v>
      </c>
      <c r="C31" s="96" t="s">
        <v>288</v>
      </c>
      <c r="D31" s="96" t="s">
        <v>418</v>
      </c>
      <c r="E31" s="96"/>
      <c r="F31" s="83">
        <f t="shared" si="4"/>
        <v>28</v>
      </c>
      <c r="G31" s="156">
        <f>1750/1.21</f>
        <v>1446.2809917355373</v>
      </c>
      <c r="H31" s="156">
        <v>0</v>
      </c>
      <c r="I31" s="156"/>
      <c r="J31" s="156"/>
      <c r="K31" s="156"/>
    </row>
    <row r="32" spans="1:11" x14ac:dyDescent="0.25">
      <c r="A32" s="87" t="s">
        <v>393</v>
      </c>
      <c r="B32" s="101">
        <f t="shared" si="3"/>
        <v>12.396694214876034</v>
      </c>
      <c r="C32" s="87" t="s">
        <v>289</v>
      </c>
      <c r="D32" s="87" t="s">
        <v>417</v>
      </c>
      <c r="E32" s="87"/>
      <c r="F32" s="93">
        <f t="shared" si="4"/>
        <v>29</v>
      </c>
      <c r="G32" s="148">
        <f>15/1.21</f>
        <v>12.396694214876034</v>
      </c>
      <c r="H32" s="148">
        <f>10/1.21</f>
        <v>8.2644628099173563</v>
      </c>
      <c r="I32" s="148"/>
      <c r="J32" s="148"/>
      <c r="K32" s="148"/>
    </row>
    <row r="33" spans="1:11" x14ac:dyDescent="0.25">
      <c r="A33" s="87" t="s">
        <v>286</v>
      </c>
      <c r="B33" s="100">
        <f t="shared" si="3"/>
        <v>1.4999999999999999E-2</v>
      </c>
      <c r="C33" s="87" t="s">
        <v>290</v>
      </c>
      <c r="D33" s="87" t="s">
        <v>8</v>
      </c>
      <c r="E33" s="87" t="s">
        <v>60</v>
      </c>
      <c r="F33" s="93">
        <f t="shared" si="4"/>
        <v>30</v>
      </c>
      <c r="G33" s="157">
        <v>1.4999999999999999E-2</v>
      </c>
      <c r="H33" s="157">
        <v>1.4999999999999999E-2</v>
      </c>
      <c r="I33" s="157"/>
      <c r="J33" s="157"/>
      <c r="K33" s="157"/>
    </row>
    <row r="34" spans="1:11" s="114" customFormat="1" x14ac:dyDescent="0.25">
      <c r="A34" s="117" t="s">
        <v>287</v>
      </c>
      <c r="B34" s="118">
        <f t="shared" si="3"/>
        <v>20</v>
      </c>
      <c r="C34" s="117" t="s">
        <v>291</v>
      </c>
      <c r="D34" s="117" t="s">
        <v>7</v>
      </c>
      <c r="E34" s="117"/>
      <c r="F34" s="93">
        <f t="shared" si="4"/>
        <v>31</v>
      </c>
      <c r="G34" s="137">
        <v>20</v>
      </c>
      <c r="H34" s="137">
        <v>20</v>
      </c>
      <c r="I34" s="137"/>
      <c r="J34" s="137"/>
      <c r="K34" s="137"/>
    </row>
    <row r="35" spans="1:11" s="114" customFormat="1" x14ac:dyDescent="0.25">
      <c r="A35" s="117" t="s">
        <v>358</v>
      </c>
      <c r="B35" s="92">
        <f t="shared" si="3"/>
        <v>0.5</v>
      </c>
      <c r="C35" s="117" t="s">
        <v>360</v>
      </c>
      <c r="D35" s="117" t="s">
        <v>407</v>
      </c>
      <c r="E35" s="117"/>
      <c r="F35" s="93">
        <f t="shared" si="4"/>
        <v>32</v>
      </c>
      <c r="G35" s="158">
        <v>0.5</v>
      </c>
      <c r="H35" s="158">
        <v>0</v>
      </c>
      <c r="I35" s="158"/>
      <c r="J35" s="158"/>
      <c r="K35" s="158"/>
    </row>
    <row r="36" spans="1:11" x14ac:dyDescent="0.25">
      <c r="A36" s="94" t="s">
        <v>359</v>
      </c>
      <c r="B36" s="119">
        <f t="shared" si="3"/>
        <v>0.5</v>
      </c>
      <c r="C36" s="94" t="s">
        <v>361</v>
      </c>
      <c r="D36" s="94" t="s">
        <v>407</v>
      </c>
      <c r="E36" s="94"/>
      <c r="F36" s="86">
        <f t="shared" si="4"/>
        <v>33</v>
      </c>
      <c r="G36" s="72">
        <f>IF(G35="","",1-G35)</f>
        <v>0.5</v>
      </c>
      <c r="H36" s="72">
        <f t="shared" ref="H36:K36" si="5">IF(H35="","",1-H35)</f>
        <v>1</v>
      </c>
      <c r="I36" s="72" t="str">
        <f t="shared" si="5"/>
        <v/>
      </c>
      <c r="J36" s="72" t="str">
        <f t="shared" si="5"/>
        <v/>
      </c>
      <c r="K36" s="72" t="str">
        <f t="shared" si="5"/>
        <v/>
      </c>
    </row>
    <row r="37" spans="1:11" x14ac:dyDescent="0.25">
      <c r="A37" s="87"/>
      <c r="B37" s="120"/>
      <c r="C37" s="87"/>
      <c r="D37" s="87"/>
      <c r="E37" s="87"/>
      <c r="F37" s="93"/>
      <c r="G37" s="137"/>
      <c r="H37" s="137"/>
      <c r="I37" s="137"/>
      <c r="J37" s="137"/>
      <c r="K37" s="137"/>
    </row>
    <row r="38" spans="1:11" ht="15.75" x14ac:dyDescent="0.25">
      <c r="A38" s="84" t="s">
        <v>400</v>
      </c>
      <c r="B38" s="95"/>
      <c r="C38" s="94"/>
      <c r="D38" s="94"/>
      <c r="E38" s="94"/>
      <c r="F38" s="86"/>
      <c r="G38" s="143"/>
      <c r="H38" s="143"/>
      <c r="I38" s="143"/>
      <c r="J38" s="143"/>
      <c r="K38" s="143"/>
    </row>
    <row r="39" spans="1:11" x14ac:dyDescent="0.25">
      <c r="A39" s="96" t="s">
        <v>281</v>
      </c>
      <c r="B39" s="97">
        <f t="shared" ref="B39:B68" si="6">HLOOKUP($C$2,$G$4:$K$1061,F39,FALSE)</f>
        <v>0</v>
      </c>
      <c r="C39" s="96" t="s">
        <v>353</v>
      </c>
      <c r="D39" s="96"/>
      <c r="E39" s="82"/>
      <c r="F39" s="83">
        <f t="shared" si="4"/>
        <v>36</v>
      </c>
      <c r="G39" s="144">
        <v>0</v>
      </c>
      <c r="H39" s="144">
        <v>0</v>
      </c>
      <c r="I39" s="144">
        <v>0</v>
      </c>
      <c r="J39" s="144">
        <v>0</v>
      </c>
      <c r="K39" s="144">
        <v>0</v>
      </c>
    </row>
    <row r="40" spans="1:11" x14ac:dyDescent="0.25">
      <c r="A40" s="94" t="s">
        <v>351</v>
      </c>
      <c r="B40" s="98">
        <f t="shared" si="6"/>
        <v>0</v>
      </c>
      <c r="C40" s="94" t="s">
        <v>352</v>
      </c>
      <c r="D40" s="94" t="s">
        <v>6</v>
      </c>
      <c r="E40" s="85"/>
      <c r="F40" s="86">
        <f t="shared" si="4"/>
        <v>37</v>
      </c>
      <c r="G40" s="145">
        <v>0</v>
      </c>
      <c r="H40" s="145">
        <v>1000000</v>
      </c>
      <c r="I40" s="145">
        <v>0</v>
      </c>
      <c r="J40" s="145">
        <v>0</v>
      </c>
      <c r="K40" s="145">
        <v>0</v>
      </c>
    </row>
    <row r="41" spans="1:11" s="122" customFormat="1" x14ac:dyDescent="0.25">
      <c r="A41" s="113" t="s">
        <v>113</v>
      </c>
      <c r="B41" s="121">
        <f t="shared" si="6"/>
        <v>6750000</v>
      </c>
      <c r="C41" s="113" t="s">
        <v>72</v>
      </c>
      <c r="D41" s="113" t="s">
        <v>6</v>
      </c>
      <c r="E41" s="113"/>
      <c r="F41" s="71">
        <f t="shared" si="4"/>
        <v>38</v>
      </c>
      <c r="G41" s="159">
        <v>6750000</v>
      </c>
      <c r="H41" s="159">
        <v>6000000</v>
      </c>
      <c r="I41" s="159"/>
      <c r="J41" s="159"/>
      <c r="K41" s="159"/>
    </row>
    <row r="42" spans="1:11" x14ac:dyDescent="0.25">
      <c r="A42" s="113" t="s">
        <v>114</v>
      </c>
      <c r="B42" s="110">
        <f t="shared" si="6"/>
        <v>1.2E-2</v>
      </c>
      <c r="C42" s="113" t="s">
        <v>73</v>
      </c>
      <c r="D42" s="113" t="s">
        <v>8</v>
      </c>
      <c r="E42" s="113" t="s">
        <v>408</v>
      </c>
      <c r="F42" s="71">
        <f t="shared" si="4"/>
        <v>39</v>
      </c>
      <c r="G42" s="160">
        <v>1.2E-2</v>
      </c>
      <c r="H42" s="160">
        <v>1.2E-2</v>
      </c>
      <c r="I42" s="160"/>
      <c r="J42" s="160"/>
      <c r="K42" s="160"/>
    </row>
    <row r="43" spans="1:11" x14ac:dyDescent="0.25">
      <c r="A43" s="113" t="s">
        <v>105</v>
      </c>
      <c r="B43" s="112">
        <f t="shared" si="6"/>
        <v>0</v>
      </c>
      <c r="C43" s="113" t="s">
        <v>74</v>
      </c>
      <c r="D43" s="113" t="s">
        <v>7</v>
      </c>
      <c r="E43" s="113" t="s">
        <v>394</v>
      </c>
      <c r="F43" s="71">
        <f t="shared" si="4"/>
        <v>40</v>
      </c>
      <c r="G43" s="139">
        <v>0</v>
      </c>
      <c r="H43" s="139">
        <v>0</v>
      </c>
      <c r="I43" s="139"/>
      <c r="J43" s="139"/>
      <c r="K43" s="139"/>
    </row>
    <row r="44" spans="1:11" x14ac:dyDescent="0.25">
      <c r="A44" s="113" t="s">
        <v>363</v>
      </c>
      <c r="B44" s="112">
        <f t="shared" si="6"/>
        <v>2</v>
      </c>
      <c r="C44" s="113" t="s">
        <v>362</v>
      </c>
      <c r="D44" s="113" t="s">
        <v>7</v>
      </c>
      <c r="E44" s="113" t="s">
        <v>395</v>
      </c>
      <c r="F44" s="71">
        <f>ROW(C44)-3</f>
        <v>41</v>
      </c>
      <c r="G44" s="139">
        <v>2</v>
      </c>
      <c r="H44" s="139">
        <v>0</v>
      </c>
      <c r="I44" s="139"/>
      <c r="J44" s="139"/>
      <c r="K44" s="139"/>
    </row>
    <row r="45" spans="1:11" x14ac:dyDescent="0.25">
      <c r="A45" s="113" t="s">
        <v>106</v>
      </c>
      <c r="B45" s="112">
        <f t="shared" si="6"/>
        <v>18</v>
      </c>
      <c r="C45" s="113" t="s">
        <v>75</v>
      </c>
      <c r="D45" s="113" t="s">
        <v>7</v>
      </c>
      <c r="E45" s="113" t="s">
        <v>396</v>
      </c>
      <c r="F45" s="71">
        <f>ROW(C45)-3</f>
        <v>42</v>
      </c>
      <c r="G45" s="139">
        <v>18</v>
      </c>
      <c r="H45" s="139">
        <v>20</v>
      </c>
      <c r="I45" s="139"/>
      <c r="J45" s="139"/>
      <c r="K45" s="139"/>
    </row>
    <row r="46" spans="1:11" s="122" customFormat="1" x14ac:dyDescent="0.25">
      <c r="A46" s="91" t="s">
        <v>115</v>
      </c>
      <c r="B46" s="102">
        <f t="shared" si="6"/>
        <v>0</v>
      </c>
      <c r="C46" s="91" t="s">
        <v>76</v>
      </c>
      <c r="D46" s="91" t="s">
        <v>6</v>
      </c>
      <c r="E46" s="91"/>
      <c r="F46" s="93">
        <f t="shared" si="4"/>
        <v>43</v>
      </c>
      <c r="G46" s="149"/>
      <c r="H46" s="149">
        <v>9500000</v>
      </c>
      <c r="I46" s="149"/>
      <c r="J46" s="149"/>
      <c r="K46" s="149"/>
    </row>
    <row r="47" spans="1:11" x14ac:dyDescent="0.25">
      <c r="A47" s="91" t="s">
        <v>116</v>
      </c>
      <c r="B47" s="92">
        <f t="shared" si="6"/>
        <v>0</v>
      </c>
      <c r="C47" s="91" t="s">
        <v>77</v>
      </c>
      <c r="D47" s="91" t="s">
        <v>8</v>
      </c>
      <c r="E47" s="91" t="s">
        <v>408</v>
      </c>
      <c r="F47" s="93">
        <f t="shared" si="4"/>
        <v>44</v>
      </c>
      <c r="G47" s="147"/>
      <c r="H47" s="147">
        <v>3.7499999999999999E-2</v>
      </c>
      <c r="I47" s="147"/>
      <c r="J47" s="147"/>
      <c r="K47" s="147"/>
    </row>
    <row r="48" spans="1:11" x14ac:dyDescent="0.25">
      <c r="A48" s="91" t="s">
        <v>107</v>
      </c>
      <c r="B48" s="118">
        <f t="shared" si="6"/>
        <v>0</v>
      </c>
      <c r="C48" s="91" t="s">
        <v>78</v>
      </c>
      <c r="D48" s="91" t="s">
        <v>7</v>
      </c>
      <c r="E48" s="91" t="s">
        <v>394</v>
      </c>
      <c r="F48" s="93">
        <f t="shared" si="4"/>
        <v>45</v>
      </c>
      <c r="G48" s="137"/>
      <c r="H48" s="137">
        <v>0</v>
      </c>
      <c r="I48" s="137"/>
      <c r="J48" s="137"/>
      <c r="K48" s="137"/>
    </row>
    <row r="49" spans="1:11" x14ac:dyDescent="0.25">
      <c r="A49" s="91" t="s">
        <v>364</v>
      </c>
      <c r="B49" s="118">
        <f t="shared" si="6"/>
        <v>0</v>
      </c>
      <c r="C49" s="91" t="s">
        <v>377</v>
      </c>
      <c r="D49" s="91"/>
      <c r="E49" s="91" t="s">
        <v>395</v>
      </c>
      <c r="F49" s="93">
        <f>ROW(C49)-3</f>
        <v>46</v>
      </c>
      <c r="G49" s="137"/>
      <c r="H49" s="137">
        <v>3</v>
      </c>
      <c r="I49" s="137"/>
      <c r="J49" s="137"/>
      <c r="K49" s="137"/>
    </row>
    <row r="50" spans="1:11" x14ac:dyDescent="0.25">
      <c r="A50" s="91" t="s">
        <v>108</v>
      </c>
      <c r="B50" s="118">
        <f t="shared" si="6"/>
        <v>0</v>
      </c>
      <c r="C50" s="91" t="s">
        <v>79</v>
      </c>
      <c r="D50" s="91" t="s">
        <v>7</v>
      </c>
      <c r="E50" s="91" t="s">
        <v>396</v>
      </c>
      <c r="F50" s="93">
        <f>ROW(C50)-3</f>
        <v>47</v>
      </c>
      <c r="G50" s="137"/>
      <c r="H50" s="137">
        <v>20</v>
      </c>
      <c r="I50" s="137"/>
      <c r="J50" s="137"/>
      <c r="K50" s="137"/>
    </row>
    <row r="51" spans="1:11" s="122" customFormat="1" x14ac:dyDescent="0.25">
      <c r="A51" s="113" t="s">
        <v>365</v>
      </c>
      <c r="B51" s="121">
        <f t="shared" si="6"/>
        <v>0</v>
      </c>
      <c r="C51" s="113" t="s">
        <v>330</v>
      </c>
      <c r="D51" s="113" t="s">
        <v>6</v>
      </c>
      <c r="E51" s="113"/>
      <c r="F51" s="93">
        <f t="shared" si="4"/>
        <v>48</v>
      </c>
      <c r="G51" s="159"/>
      <c r="H51" s="159"/>
      <c r="I51" s="159"/>
      <c r="J51" s="159"/>
      <c r="K51" s="159"/>
    </row>
    <row r="52" spans="1:11" x14ac:dyDescent="0.25">
      <c r="A52" s="113" t="s">
        <v>366</v>
      </c>
      <c r="B52" s="115">
        <f t="shared" si="6"/>
        <v>0</v>
      </c>
      <c r="C52" s="113" t="s">
        <v>331</v>
      </c>
      <c r="D52" s="113" t="s">
        <v>8</v>
      </c>
      <c r="E52" s="113" t="s">
        <v>88</v>
      </c>
      <c r="F52" s="93">
        <f t="shared" si="4"/>
        <v>49</v>
      </c>
      <c r="G52" s="160"/>
      <c r="H52" s="160"/>
      <c r="I52" s="160"/>
      <c r="J52" s="160"/>
      <c r="K52" s="160"/>
    </row>
    <row r="53" spans="1:11" x14ac:dyDescent="0.25">
      <c r="A53" s="113" t="s">
        <v>367</v>
      </c>
      <c r="B53" s="112">
        <f t="shared" si="6"/>
        <v>0</v>
      </c>
      <c r="C53" s="113" t="s">
        <v>332</v>
      </c>
      <c r="D53" s="113" t="s">
        <v>7</v>
      </c>
      <c r="E53" s="113" t="s">
        <v>394</v>
      </c>
      <c r="F53" s="93">
        <f t="shared" si="4"/>
        <v>50</v>
      </c>
      <c r="G53" s="139"/>
      <c r="H53" s="139"/>
      <c r="I53" s="139"/>
      <c r="J53" s="139"/>
      <c r="K53" s="139"/>
    </row>
    <row r="54" spans="1:11" x14ac:dyDescent="0.25">
      <c r="A54" s="113" t="s">
        <v>373</v>
      </c>
      <c r="B54" s="112">
        <f t="shared" si="6"/>
        <v>0</v>
      </c>
      <c r="C54" s="113" t="s">
        <v>376</v>
      </c>
      <c r="D54" s="113"/>
      <c r="E54" s="113" t="s">
        <v>395</v>
      </c>
      <c r="F54" s="93">
        <f>ROW(C54)-3</f>
        <v>51</v>
      </c>
      <c r="G54" s="139"/>
      <c r="H54" s="139"/>
      <c r="I54" s="139"/>
      <c r="J54" s="139"/>
      <c r="K54" s="139"/>
    </row>
    <row r="55" spans="1:11" x14ac:dyDescent="0.25">
      <c r="A55" s="113" t="s">
        <v>368</v>
      </c>
      <c r="B55" s="112">
        <f t="shared" si="6"/>
        <v>0</v>
      </c>
      <c r="C55" s="113" t="s">
        <v>333</v>
      </c>
      <c r="D55" s="113" t="s">
        <v>7</v>
      </c>
      <c r="E55" s="113" t="s">
        <v>396</v>
      </c>
      <c r="F55" s="93">
        <f>ROW(C55)-3</f>
        <v>52</v>
      </c>
      <c r="G55" s="139"/>
      <c r="H55" s="139"/>
      <c r="I55" s="139"/>
      <c r="J55" s="139"/>
      <c r="K55" s="139"/>
    </row>
    <row r="56" spans="1:11" s="122" customFormat="1" x14ac:dyDescent="0.25">
      <c r="A56" s="91" t="s">
        <v>117</v>
      </c>
      <c r="B56" s="102">
        <f t="shared" si="6"/>
        <v>0</v>
      </c>
      <c r="C56" s="91" t="s">
        <v>81</v>
      </c>
      <c r="D56" s="91" t="s">
        <v>6</v>
      </c>
      <c r="E56" s="91"/>
      <c r="F56" s="93">
        <f t="shared" si="4"/>
        <v>53</v>
      </c>
      <c r="G56" s="149"/>
      <c r="H56" s="149"/>
      <c r="I56" s="149"/>
      <c r="J56" s="149"/>
      <c r="K56" s="149"/>
    </row>
    <row r="57" spans="1:11" x14ac:dyDescent="0.25">
      <c r="A57" s="91" t="s">
        <v>118</v>
      </c>
      <c r="B57" s="92">
        <f t="shared" si="6"/>
        <v>0</v>
      </c>
      <c r="C57" s="91" t="s">
        <v>82</v>
      </c>
      <c r="D57" s="91" t="s">
        <v>8</v>
      </c>
      <c r="E57" s="91" t="s">
        <v>88</v>
      </c>
      <c r="F57" s="93">
        <f t="shared" si="4"/>
        <v>54</v>
      </c>
      <c r="G57" s="147"/>
      <c r="H57" s="147"/>
      <c r="I57" s="147"/>
      <c r="J57" s="147"/>
      <c r="K57" s="147"/>
    </row>
    <row r="58" spans="1:11" x14ac:dyDescent="0.25">
      <c r="A58" s="91" t="s">
        <v>109</v>
      </c>
      <c r="B58" s="118">
        <f t="shared" si="6"/>
        <v>0</v>
      </c>
      <c r="C58" s="91" t="s">
        <v>83</v>
      </c>
      <c r="D58" s="91" t="s">
        <v>7</v>
      </c>
      <c r="E58" s="91" t="s">
        <v>394</v>
      </c>
      <c r="F58" s="93">
        <f t="shared" si="4"/>
        <v>55</v>
      </c>
      <c r="G58" s="137"/>
      <c r="H58" s="137"/>
      <c r="I58" s="137"/>
      <c r="J58" s="137"/>
      <c r="K58" s="137"/>
    </row>
    <row r="59" spans="1:11" x14ac:dyDescent="0.25">
      <c r="A59" s="91" t="s">
        <v>374</v>
      </c>
      <c r="B59" s="118">
        <f t="shared" si="6"/>
        <v>0</v>
      </c>
      <c r="C59" s="91" t="s">
        <v>375</v>
      </c>
      <c r="D59" s="91"/>
      <c r="E59" s="91" t="s">
        <v>395</v>
      </c>
      <c r="F59" s="93">
        <f>ROW(C59)-3</f>
        <v>56</v>
      </c>
      <c r="G59" s="137"/>
      <c r="H59" s="137"/>
      <c r="I59" s="137"/>
      <c r="J59" s="137"/>
      <c r="K59" s="137"/>
    </row>
    <row r="60" spans="1:11" x14ac:dyDescent="0.25">
      <c r="A60" s="91" t="s">
        <v>110</v>
      </c>
      <c r="B60" s="118">
        <f t="shared" si="6"/>
        <v>0</v>
      </c>
      <c r="C60" s="91" t="s">
        <v>80</v>
      </c>
      <c r="D60" s="91" t="s">
        <v>7</v>
      </c>
      <c r="E60" s="91" t="s">
        <v>396</v>
      </c>
      <c r="F60" s="93">
        <f>ROW(C60)-3</f>
        <v>57</v>
      </c>
      <c r="G60" s="137"/>
      <c r="H60" s="137"/>
      <c r="I60" s="137"/>
      <c r="J60" s="137"/>
      <c r="K60" s="137"/>
    </row>
    <row r="61" spans="1:11" s="122" customFormat="1" x14ac:dyDescent="0.25">
      <c r="A61" s="113" t="s">
        <v>119</v>
      </c>
      <c r="B61" s="121">
        <f t="shared" si="6"/>
        <v>0</v>
      </c>
      <c r="C61" s="113" t="s">
        <v>84</v>
      </c>
      <c r="D61" s="113" t="s">
        <v>6</v>
      </c>
      <c r="E61" s="113"/>
      <c r="F61" s="71">
        <f t="shared" si="4"/>
        <v>58</v>
      </c>
      <c r="G61" s="159"/>
      <c r="H61" s="159"/>
      <c r="I61" s="159"/>
      <c r="J61" s="159"/>
      <c r="K61" s="159"/>
    </row>
    <row r="62" spans="1:11" x14ac:dyDescent="0.25">
      <c r="A62" s="113" t="s">
        <v>120</v>
      </c>
      <c r="B62" s="110">
        <f t="shared" si="6"/>
        <v>0</v>
      </c>
      <c r="C62" s="113" t="s">
        <v>85</v>
      </c>
      <c r="D62" s="113" t="s">
        <v>8</v>
      </c>
      <c r="E62" s="113" t="s">
        <v>16</v>
      </c>
      <c r="F62" s="71">
        <f t="shared" si="4"/>
        <v>59</v>
      </c>
      <c r="G62" s="160"/>
      <c r="H62" s="160"/>
      <c r="I62" s="160"/>
      <c r="J62" s="160"/>
      <c r="K62" s="160"/>
    </row>
    <row r="63" spans="1:11" x14ac:dyDescent="0.25">
      <c r="A63" s="113" t="s">
        <v>111</v>
      </c>
      <c r="B63" s="112">
        <f t="shared" si="6"/>
        <v>0</v>
      </c>
      <c r="C63" s="113" t="s">
        <v>86</v>
      </c>
      <c r="D63" s="113" t="s">
        <v>7</v>
      </c>
      <c r="E63" s="113" t="s">
        <v>394</v>
      </c>
      <c r="F63" s="71">
        <f t="shared" si="4"/>
        <v>60</v>
      </c>
      <c r="G63" s="139"/>
      <c r="H63" s="139"/>
      <c r="I63" s="139"/>
      <c r="J63" s="139"/>
      <c r="K63" s="139"/>
    </row>
    <row r="64" spans="1:11" x14ac:dyDescent="0.25">
      <c r="A64" s="113" t="s">
        <v>112</v>
      </c>
      <c r="B64" s="112">
        <f t="shared" si="6"/>
        <v>0</v>
      </c>
      <c r="C64" s="113" t="s">
        <v>87</v>
      </c>
      <c r="D64" s="113" t="s">
        <v>7</v>
      </c>
      <c r="E64" s="113" t="s">
        <v>409</v>
      </c>
      <c r="F64" s="71">
        <f t="shared" si="4"/>
        <v>61</v>
      </c>
      <c r="G64" s="139"/>
      <c r="H64" s="139"/>
      <c r="I64" s="139"/>
      <c r="J64" s="139"/>
      <c r="K64" s="139"/>
    </row>
    <row r="65" spans="1:11" s="122" customFormat="1" x14ac:dyDescent="0.25">
      <c r="A65" s="91" t="s">
        <v>369</v>
      </c>
      <c r="B65" s="102">
        <f t="shared" si="6"/>
        <v>0</v>
      </c>
      <c r="C65" s="91" t="s">
        <v>334</v>
      </c>
      <c r="D65" s="91" t="s">
        <v>6</v>
      </c>
      <c r="E65" s="91"/>
      <c r="F65" s="93">
        <f t="shared" si="4"/>
        <v>62</v>
      </c>
      <c r="G65" s="146"/>
      <c r="H65" s="146"/>
      <c r="I65" s="146"/>
      <c r="J65" s="146"/>
      <c r="K65" s="146"/>
    </row>
    <row r="66" spans="1:11" x14ac:dyDescent="0.25">
      <c r="A66" s="91" t="s">
        <v>370</v>
      </c>
      <c r="B66" s="92">
        <f t="shared" si="6"/>
        <v>0</v>
      </c>
      <c r="C66" s="91" t="s">
        <v>335</v>
      </c>
      <c r="D66" s="91" t="s">
        <v>8</v>
      </c>
      <c r="E66" s="91" t="s">
        <v>16</v>
      </c>
      <c r="F66" s="93">
        <f t="shared" si="4"/>
        <v>63</v>
      </c>
      <c r="G66" s="161"/>
      <c r="H66" s="161"/>
      <c r="I66" s="161"/>
      <c r="J66" s="161"/>
      <c r="K66" s="161"/>
    </row>
    <row r="67" spans="1:11" x14ac:dyDescent="0.25">
      <c r="A67" s="91" t="s">
        <v>371</v>
      </c>
      <c r="B67" s="118">
        <f t="shared" si="6"/>
        <v>0</v>
      </c>
      <c r="C67" s="91" t="s">
        <v>336</v>
      </c>
      <c r="D67" s="91" t="s">
        <v>7</v>
      </c>
      <c r="E67" s="91" t="s">
        <v>410</v>
      </c>
      <c r="F67" s="93">
        <f t="shared" si="4"/>
        <v>64</v>
      </c>
      <c r="G67" s="135"/>
      <c r="H67" s="135"/>
      <c r="I67" s="135"/>
      <c r="J67" s="135"/>
      <c r="K67" s="135"/>
    </row>
    <row r="68" spans="1:11" x14ac:dyDescent="0.25">
      <c r="A68" s="94" t="s">
        <v>372</v>
      </c>
      <c r="B68" s="123">
        <f t="shared" si="6"/>
        <v>0</v>
      </c>
      <c r="C68" s="94" t="s">
        <v>337</v>
      </c>
      <c r="D68" s="94" t="s">
        <v>7</v>
      </c>
      <c r="E68" s="94" t="s">
        <v>409</v>
      </c>
      <c r="F68" s="86">
        <f t="shared" si="4"/>
        <v>65</v>
      </c>
      <c r="G68" s="138"/>
      <c r="H68" s="138"/>
      <c r="I68" s="138"/>
      <c r="J68" s="138"/>
      <c r="K68" s="138"/>
    </row>
    <row r="69" spans="1:11" x14ac:dyDescent="0.25">
      <c r="G69" s="131"/>
      <c r="H69" s="131"/>
      <c r="I69" s="131"/>
      <c r="J69" s="131"/>
      <c r="K69" s="131"/>
    </row>
    <row r="70" spans="1:11" ht="15.75" x14ac:dyDescent="0.25">
      <c r="A70" s="84" t="s">
        <v>402</v>
      </c>
      <c r="B70" s="95"/>
      <c r="C70" s="94"/>
      <c r="D70" s="94"/>
      <c r="E70" s="94"/>
      <c r="F70" s="86"/>
      <c r="G70" s="143"/>
      <c r="H70" s="143"/>
      <c r="I70" s="143"/>
      <c r="J70" s="143"/>
      <c r="K70" s="143"/>
    </row>
    <row r="71" spans="1:11" x14ac:dyDescent="0.25">
      <c r="A71" s="91" t="s">
        <v>13</v>
      </c>
      <c r="B71" s="92">
        <f t="shared" ref="B71:B79" si="7">HLOOKUP($C$2,$G$4:$K$1061,F71,FALSE)</f>
        <v>0.21</v>
      </c>
      <c r="C71" s="91" t="s">
        <v>24</v>
      </c>
      <c r="D71" s="91" t="s">
        <v>27</v>
      </c>
      <c r="E71" s="91"/>
      <c r="F71" s="89">
        <f t="shared" ref="F71:F107" si="8">ROW(C71)-3</f>
        <v>68</v>
      </c>
      <c r="G71" s="142">
        <v>0.21</v>
      </c>
      <c r="H71" s="142">
        <v>0.21</v>
      </c>
      <c r="I71" s="142">
        <v>0.21</v>
      </c>
      <c r="J71" s="142">
        <v>0.21</v>
      </c>
      <c r="K71" s="142">
        <v>0.21</v>
      </c>
    </row>
    <row r="72" spans="1:11" x14ac:dyDescent="0.25">
      <c r="A72" s="91" t="s">
        <v>338</v>
      </c>
      <c r="B72" s="124">
        <f t="shared" si="7"/>
        <v>25</v>
      </c>
      <c r="C72" s="91" t="s">
        <v>40</v>
      </c>
      <c r="D72" s="91" t="s">
        <v>7</v>
      </c>
      <c r="E72" s="91" t="s">
        <v>41</v>
      </c>
      <c r="F72" s="93">
        <f t="shared" si="8"/>
        <v>69</v>
      </c>
      <c r="G72" s="137">
        <v>25</v>
      </c>
      <c r="H72" s="137">
        <v>25</v>
      </c>
      <c r="I72" s="137">
        <v>25</v>
      </c>
      <c r="J72" s="137">
        <v>25</v>
      </c>
      <c r="K72" s="137">
        <v>25</v>
      </c>
    </row>
    <row r="73" spans="1:11" x14ac:dyDescent="0.25">
      <c r="A73" s="91" t="s">
        <v>186</v>
      </c>
      <c r="B73" s="124">
        <f t="shared" si="7"/>
        <v>20</v>
      </c>
      <c r="C73" s="91" t="s">
        <v>185</v>
      </c>
      <c r="D73" s="91" t="s">
        <v>7</v>
      </c>
      <c r="E73" s="91" t="s">
        <v>41</v>
      </c>
      <c r="F73" s="93">
        <f t="shared" si="8"/>
        <v>70</v>
      </c>
      <c r="G73" s="137">
        <v>20</v>
      </c>
      <c r="H73" s="137">
        <v>20</v>
      </c>
      <c r="I73" s="137">
        <v>20</v>
      </c>
      <c r="J73" s="137">
        <v>20</v>
      </c>
      <c r="K73" s="137">
        <v>20</v>
      </c>
    </row>
    <row r="74" spans="1:11" x14ac:dyDescent="0.25">
      <c r="A74" s="96" t="s">
        <v>258</v>
      </c>
      <c r="B74" s="125">
        <f t="shared" si="7"/>
        <v>0.19</v>
      </c>
      <c r="C74" s="126" t="s">
        <v>259</v>
      </c>
      <c r="D74" s="126" t="s">
        <v>8</v>
      </c>
      <c r="E74" s="127" t="s">
        <v>260</v>
      </c>
      <c r="F74" s="83">
        <f t="shared" si="8"/>
        <v>71</v>
      </c>
      <c r="G74" s="162">
        <v>0.19</v>
      </c>
      <c r="H74" s="162">
        <v>0.19</v>
      </c>
      <c r="I74" s="162">
        <v>0.19</v>
      </c>
      <c r="J74" s="162">
        <v>0.19</v>
      </c>
      <c r="K74" s="162">
        <v>0.19</v>
      </c>
    </row>
    <row r="75" spans="1:11" x14ac:dyDescent="0.25">
      <c r="A75" s="87" t="s">
        <v>261</v>
      </c>
      <c r="B75" s="92">
        <f t="shared" si="7"/>
        <v>0.25</v>
      </c>
      <c r="C75" s="128" t="s">
        <v>262</v>
      </c>
      <c r="D75" s="128" t="s">
        <v>8</v>
      </c>
      <c r="E75" s="129" t="s">
        <v>263</v>
      </c>
      <c r="F75" s="89">
        <f t="shared" si="8"/>
        <v>72</v>
      </c>
      <c r="G75" s="142">
        <v>0.25</v>
      </c>
      <c r="H75" s="142">
        <v>0.25</v>
      </c>
      <c r="I75" s="142">
        <v>0.25</v>
      </c>
      <c r="J75" s="142">
        <v>0.25</v>
      </c>
      <c r="K75" s="142">
        <v>0.25</v>
      </c>
    </row>
    <row r="76" spans="1:11" x14ac:dyDescent="0.25">
      <c r="A76" s="87" t="s">
        <v>264</v>
      </c>
      <c r="B76" s="102">
        <f t="shared" si="7"/>
        <v>200000</v>
      </c>
      <c r="C76" s="128" t="s">
        <v>265</v>
      </c>
      <c r="D76" s="128" t="s">
        <v>6</v>
      </c>
      <c r="E76" s="128"/>
      <c r="F76" s="89">
        <f t="shared" si="8"/>
        <v>73</v>
      </c>
      <c r="G76" s="146">
        <v>200000</v>
      </c>
      <c r="H76" s="146">
        <v>200000</v>
      </c>
      <c r="I76" s="146">
        <v>200000</v>
      </c>
      <c r="J76" s="146">
        <v>200000</v>
      </c>
      <c r="K76" s="146">
        <v>200000</v>
      </c>
    </row>
    <row r="77" spans="1:11" x14ac:dyDescent="0.25">
      <c r="A77" s="87" t="s">
        <v>266</v>
      </c>
      <c r="B77" s="124">
        <f t="shared" si="7"/>
        <v>6</v>
      </c>
      <c r="C77" s="128" t="s">
        <v>267</v>
      </c>
      <c r="D77" s="128"/>
      <c r="E77" s="128"/>
      <c r="F77" s="89">
        <f t="shared" si="8"/>
        <v>74</v>
      </c>
      <c r="G77" s="135">
        <v>6</v>
      </c>
      <c r="H77" s="135">
        <v>6</v>
      </c>
      <c r="I77" s="135">
        <v>6</v>
      </c>
      <c r="J77" s="135">
        <v>6</v>
      </c>
      <c r="K77" s="135">
        <v>6</v>
      </c>
    </row>
    <row r="78" spans="1:11" x14ac:dyDescent="0.25">
      <c r="A78" s="87" t="s">
        <v>268</v>
      </c>
      <c r="B78" s="124">
        <f t="shared" si="7"/>
        <v>1</v>
      </c>
      <c r="C78" s="128" t="s">
        <v>269</v>
      </c>
      <c r="D78" s="128"/>
      <c r="E78" s="128"/>
      <c r="F78" s="89">
        <f t="shared" si="8"/>
        <v>75</v>
      </c>
      <c r="G78" s="135">
        <v>1</v>
      </c>
      <c r="H78" s="135">
        <v>1</v>
      </c>
      <c r="I78" s="135">
        <v>1</v>
      </c>
      <c r="J78" s="135">
        <v>1</v>
      </c>
      <c r="K78" s="135">
        <v>1</v>
      </c>
    </row>
    <row r="79" spans="1:11" x14ac:dyDescent="0.25">
      <c r="A79" s="94" t="s">
        <v>9</v>
      </c>
      <c r="B79" s="103">
        <f t="shared" si="7"/>
        <v>1E-3</v>
      </c>
      <c r="C79" s="94" t="s">
        <v>25</v>
      </c>
      <c r="D79" s="94" t="s">
        <v>8</v>
      </c>
      <c r="E79" s="94" t="s">
        <v>10</v>
      </c>
      <c r="F79" s="86">
        <f t="shared" si="8"/>
        <v>76</v>
      </c>
      <c r="G79" s="150">
        <v>1E-3</v>
      </c>
      <c r="H79" s="150">
        <v>1E-3</v>
      </c>
      <c r="I79" s="150">
        <v>1E-3</v>
      </c>
      <c r="J79" s="150">
        <v>1E-3</v>
      </c>
      <c r="K79" s="150">
        <v>1E-3</v>
      </c>
    </row>
    <row r="80" spans="1:11" x14ac:dyDescent="0.25">
      <c r="A80" s="87"/>
      <c r="B80" s="130"/>
      <c r="C80" s="87"/>
      <c r="D80" s="87"/>
      <c r="E80" s="87"/>
      <c r="F80" s="89"/>
      <c r="G80" s="161"/>
      <c r="H80" s="161"/>
      <c r="I80" s="161"/>
      <c r="J80" s="161"/>
      <c r="K80" s="161"/>
    </row>
    <row r="81" spans="1:11" ht="15.75" x14ac:dyDescent="0.25">
      <c r="A81" s="84" t="s">
        <v>401</v>
      </c>
      <c r="B81" s="95"/>
      <c r="C81" s="94"/>
      <c r="D81" s="94"/>
      <c r="E81" s="94"/>
      <c r="F81" s="86"/>
      <c r="G81" s="143"/>
      <c r="H81" s="143"/>
      <c r="I81" s="143"/>
      <c r="J81" s="143"/>
      <c r="K81" s="143"/>
    </row>
    <row r="82" spans="1:11" x14ac:dyDescent="0.25">
      <c r="A82" s="87" t="s">
        <v>160</v>
      </c>
      <c r="B82" s="101">
        <f t="shared" ref="B82:B107" si="9">HLOOKUP($C$2,$G$4:$K$1061,F82,FALSE)</f>
        <v>0</v>
      </c>
      <c r="C82" s="87" t="s">
        <v>158</v>
      </c>
      <c r="D82" s="87" t="s">
        <v>6</v>
      </c>
      <c r="E82" s="87"/>
      <c r="F82" s="83">
        <f t="shared" si="8"/>
        <v>79</v>
      </c>
      <c r="G82" s="146">
        <v>0</v>
      </c>
      <c r="H82" s="146">
        <v>0</v>
      </c>
      <c r="I82" s="146">
        <v>0</v>
      </c>
      <c r="J82" s="146">
        <v>0</v>
      </c>
      <c r="K82" s="146">
        <v>0</v>
      </c>
    </row>
    <row r="83" spans="1:11" x14ac:dyDescent="0.25">
      <c r="A83" s="87" t="s">
        <v>133</v>
      </c>
      <c r="B83" s="101">
        <f t="shared" si="9"/>
        <v>0</v>
      </c>
      <c r="C83" s="87" t="s">
        <v>159</v>
      </c>
      <c r="D83" s="87" t="s">
        <v>6</v>
      </c>
      <c r="E83" s="87"/>
      <c r="F83" s="93">
        <f t="shared" si="8"/>
        <v>80</v>
      </c>
      <c r="G83" s="146">
        <v>0</v>
      </c>
      <c r="H83" s="146">
        <v>0</v>
      </c>
      <c r="I83" s="146">
        <v>0</v>
      </c>
      <c r="J83" s="146">
        <v>0</v>
      </c>
      <c r="K83" s="146">
        <v>0</v>
      </c>
    </row>
    <row r="84" spans="1:11" x14ac:dyDescent="0.25">
      <c r="A84" s="87" t="s">
        <v>134</v>
      </c>
      <c r="B84" s="101">
        <f t="shared" si="9"/>
        <v>0</v>
      </c>
      <c r="C84" s="87" t="s">
        <v>161</v>
      </c>
      <c r="D84" s="87" t="s">
        <v>6</v>
      </c>
      <c r="E84" s="87"/>
      <c r="F84" s="93">
        <f t="shared" si="8"/>
        <v>81</v>
      </c>
      <c r="G84" s="146">
        <v>0</v>
      </c>
      <c r="H84" s="146">
        <v>0</v>
      </c>
      <c r="I84" s="146">
        <v>0</v>
      </c>
      <c r="J84" s="146">
        <v>0</v>
      </c>
      <c r="K84" s="146">
        <v>0</v>
      </c>
    </row>
    <row r="85" spans="1:11" x14ac:dyDescent="0.25">
      <c r="A85" s="87" t="s">
        <v>135</v>
      </c>
      <c r="B85" s="101">
        <f t="shared" si="9"/>
        <v>0</v>
      </c>
      <c r="C85" s="87" t="s">
        <v>162</v>
      </c>
      <c r="D85" s="87" t="s">
        <v>6</v>
      </c>
      <c r="E85" s="87"/>
      <c r="F85" s="93">
        <f t="shared" si="8"/>
        <v>82</v>
      </c>
      <c r="G85" s="146">
        <v>0</v>
      </c>
      <c r="H85" s="146">
        <v>0</v>
      </c>
      <c r="I85" s="146">
        <v>0</v>
      </c>
      <c r="J85" s="146">
        <v>0</v>
      </c>
      <c r="K85" s="146">
        <v>0</v>
      </c>
    </row>
    <row r="86" spans="1:11" x14ac:dyDescent="0.25">
      <c r="A86" s="87" t="s">
        <v>136</v>
      </c>
      <c r="B86" s="101">
        <f t="shared" si="9"/>
        <v>0</v>
      </c>
      <c r="C86" s="87" t="s">
        <v>163</v>
      </c>
      <c r="D86" s="87" t="s">
        <v>6</v>
      </c>
      <c r="E86" s="87"/>
      <c r="F86" s="93">
        <f t="shared" si="8"/>
        <v>83</v>
      </c>
      <c r="G86" s="146">
        <v>0</v>
      </c>
      <c r="H86" s="146">
        <v>0</v>
      </c>
      <c r="I86" s="146">
        <v>0</v>
      </c>
      <c r="J86" s="146">
        <v>0</v>
      </c>
      <c r="K86" s="146">
        <v>0</v>
      </c>
    </row>
    <row r="87" spans="1:11" x14ac:dyDescent="0.25">
      <c r="A87" s="87" t="s">
        <v>137</v>
      </c>
      <c r="B87" s="101">
        <f t="shared" si="9"/>
        <v>0</v>
      </c>
      <c r="C87" s="87" t="s">
        <v>164</v>
      </c>
      <c r="D87" s="87" t="s">
        <v>6</v>
      </c>
      <c r="E87" s="87"/>
      <c r="F87" s="93">
        <f t="shared" si="8"/>
        <v>84</v>
      </c>
      <c r="G87" s="146">
        <v>0</v>
      </c>
      <c r="H87" s="146">
        <v>0</v>
      </c>
      <c r="I87" s="146">
        <v>0</v>
      </c>
      <c r="J87" s="146">
        <v>0</v>
      </c>
      <c r="K87" s="146">
        <v>0</v>
      </c>
    </row>
    <row r="88" spans="1:11" x14ac:dyDescent="0.25">
      <c r="A88" s="87" t="s">
        <v>138</v>
      </c>
      <c r="B88" s="101">
        <f t="shared" si="9"/>
        <v>0</v>
      </c>
      <c r="C88" s="87" t="s">
        <v>165</v>
      </c>
      <c r="D88" s="87" t="s">
        <v>6</v>
      </c>
      <c r="E88" s="87"/>
      <c r="F88" s="93">
        <f t="shared" si="8"/>
        <v>85</v>
      </c>
      <c r="G88" s="146">
        <v>0</v>
      </c>
      <c r="H88" s="146">
        <v>0</v>
      </c>
      <c r="I88" s="146">
        <v>0</v>
      </c>
      <c r="J88" s="146">
        <v>0</v>
      </c>
      <c r="K88" s="146">
        <v>0</v>
      </c>
    </row>
    <row r="89" spans="1:11" x14ac:dyDescent="0.25">
      <c r="A89" s="87" t="s">
        <v>139</v>
      </c>
      <c r="B89" s="101">
        <f t="shared" si="9"/>
        <v>0</v>
      </c>
      <c r="C89" s="87" t="s">
        <v>166</v>
      </c>
      <c r="D89" s="87" t="s">
        <v>6</v>
      </c>
      <c r="E89" s="87"/>
      <c r="F89" s="93">
        <f t="shared" si="8"/>
        <v>86</v>
      </c>
      <c r="G89" s="146">
        <v>0</v>
      </c>
      <c r="H89" s="146">
        <v>0</v>
      </c>
      <c r="I89" s="146">
        <v>0</v>
      </c>
      <c r="J89" s="146">
        <v>0</v>
      </c>
      <c r="K89" s="146">
        <v>0</v>
      </c>
    </row>
    <row r="90" spans="1:11" x14ac:dyDescent="0.25">
      <c r="A90" s="87" t="s">
        <v>140</v>
      </c>
      <c r="B90" s="101">
        <f t="shared" si="9"/>
        <v>0</v>
      </c>
      <c r="C90" s="87" t="s">
        <v>167</v>
      </c>
      <c r="D90" s="87" t="s">
        <v>6</v>
      </c>
      <c r="E90" s="87"/>
      <c r="F90" s="93">
        <f t="shared" si="8"/>
        <v>87</v>
      </c>
      <c r="G90" s="146">
        <v>0</v>
      </c>
      <c r="H90" s="146">
        <v>0</v>
      </c>
      <c r="I90" s="146">
        <v>0</v>
      </c>
      <c r="J90" s="146">
        <v>0</v>
      </c>
      <c r="K90" s="146">
        <v>0</v>
      </c>
    </row>
    <row r="91" spans="1:11" x14ac:dyDescent="0.25">
      <c r="A91" s="87" t="s">
        <v>141</v>
      </c>
      <c r="B91" s="101">
        <f t="shared" si="9"/>
        <v>0</v>
      </c>
      <c r="C91" s="87" t="s">
        <v>168</v>
      </c>
      <c r="D91" s="87" t="s">
        <v>6</v>
      </c>
      <c r="E91" s="87"/>
      <c r="F91" s="93">
        <f t="shared" si="8"/>
        <v>88</v>
      </c>
      <c r="G91" s="146">
        <v>0</v>
      </c>
      <c r="H91" s="146">
        <v>0</v>
      </c>
      <c r="I91" s="146">
        <v>0</v>
      </c>
      <c r="J91" s="146">
        <v>0</v>
      </c>
      <c r="K91" s="146">
        <v>0</v>
      </c>
    </row>
    <row r="92" spans="1:11" x14ac:dyDescent="0.25">
      <c r="A92" s="87" t="s">
        <v>142</v>
      </c>
      <c r="B92" s="101">
        <f t="shared" si="9"/>
        <v>0</v>
      </c>
      <c r="C92" s="87" t="s">
        <v>169</v>
      </c>
      <c r="D92" s="87" t="s">
        <v>6</v>
      </c>
      <c r="E92" s="87"/>
      <c r="F92" s="93">
        <f t="shared" si="8"/>
        <v>89</v>
      </c>
      <c r="G92" s="146">
        <v>0</v>
      </c>
      <c r="H92" s="146">
        <v>0</v>
      </c>
      <c r="I92" s="146">
        <v>0</v>
      </c>
      <c r="J92" s="146">
        <v>0</v>
      </c>
      <c r="K92" s="146">
        <v>0</v>
      </c>
    </row>
    <row r="93" spans="1:11" s="114" customFormat="1" x14ac:dyDescent="0.25">
      <c r="A93" s="87" t="s">
        <v>143</v>
      </c>
      <c r="B93" s="101">
        <f t="shared" si="9"/>
        <v>0</v>
      </c>
      <c r="C93" s="87" t="s">
        <v>170</v>
      </c>
      <c r="D93" s="87" t="s">
        <v>6</v>
      </c>
      <c r="E93" s="87"/>
      <c r="F93" s="93">
        <f t="shared" si="8"/>
        <v>90</v>
      </c>
      <c r="G93" s="146">
        <v>0</v>
      </c>
      <c r="H93" s="146">
        <v>0</v>
      </c>
      <c r="I93" s="146">
        <v>0</v>
      </c>
      <c r="J93" s="146">
        <v>0</v>
      </c>
      <c r="K93" s="146">
        <v>0</v>
      </c>
    </row>
    <row r="94" spans="1:11" x14ac:dyDescent="0.25">
      <c r="A94" s="87" t="s">
        <v>144</v>
      </c>
      <c r="B94" s="101">
        <f t="shared" si="9"/>
        <v>0</v>
      </c>
      <c r="C94" s="87" t="s">
        <v>171</v>
      </c>
      <c r="D94" s="87" t="s">
        <v>6</v>
      </c>
      <c r="E94" s="87"/>
      <c r="F94" s="93">
        <f t="shared" si="8"/>
        <v>91</v>
      </c>
      <c r="G94" s="146">
        <v>0</v>
      </c>
      <c r="H94" s="146">
        <v>0</v>
      </c>
      <c r="I94" s="146">
        <v>0</v>
      </c>
      <c r="J94" s="146">
        <v>0</v>
      </c>
      <c r="K94" s="146">
        <v>0</v>
      </c>
    </row>
    <row r="95" spans="1:11" x14ac:dyDescent="0.25">
      <c r="A95" s="87" t="s">
        <v>145</v>
      </c>
      <c r="B95" s="101">
        <f t="shared" si="9"/>
        <v>0</v>
      </c>
      <c r="C95" s="87" t="s">
        <v>172</v>
      </c>
      <c r="D95" s="87" t="s">
        <v>6</v>
      </c>
      <c r="E95" s="87"/>
      <c r="F95" s="93">
        <f t="shared" si="8"/>
        <v>92</v>
      </c>
      <c r="G95" s="146">
        <v>0</v>
      </c>
      <c r="H95" s="146">
        <v>0</v>
      </c>
      <c r="I95" s="146">
        <v>0</v>
      </c>
      <c r="J95" s="146">
        <v>0</v>
      </c>
      <c r="K95" s="146">
        <v>0</v>
      </c>
    </row>
    <row r="96" spans="1:11" x14ac:dyDescent="0.25">
      <c r="A96" s="87" t="s">
        <v>146</v>
      </c>
      <c r="B96" s="101">
        <f t="shared" si="9"/>
        <v>0</v>
      </c>
      <c r="C96" s="87" t="s">
        <v>173</v>
      </c>
      <c r="D96" s="87" t="s">
        <v>6</v>
      </c>
      <c r="E96" s="87"/>
      <c r="F96" s="93">
        <f t="shared" si="8"/>
        <v>93</v>
      </c>
      <c r="G96" s="146">
        <v>0</v>
      </c>
      <c r="H96" s="146">
        <v>0</v>
      </c>
      <c r="I96" s="146">
        <v>0</v>
      </c>
      <c r="J96" s="146">
        <v>0</v>
      </c>
      <c r="K96" s="146">
        <v>0</v>
      </c>
    </row>
    <row r="97" spans="1:11" x14ac:dyDescent="0.25">
      <c r="A97" s="87" t="s">
        <v>147</v>
      </c>
      <c r="B97" s="101">
        <f t="shared" si="9"/>
        <v>0</v>
      </c>
      <c r="C97" s="87" t="s">
        <v>174</v>
      </c>
      <c r="D97" s="87" t="s">
        <v>6</v>
      </c>
      <c r="E97" s="87"/>
      <c r="F97" s="93">
        <f t="shared" si="8"/>
        <v>94</v>
      </c>
      <c r="G97" s="146">
        <v>0</v>
      </c>
      <c r="H97" s="146">
        <v>0</v>
      </c>
      <c r="I97" s="146">
        <v>0</v>
      </c>
      <c r="J97" s="146">
        <v>0</v>
      </c>
      <c r="K97" s="146">
        <v>0</v>
      </c>
    </row>
    <row r="98" spans="1:11" x14ac:dyDescent="0.25">
      <c r="A98" s="87" t="s">
        <v>148</v>
      </c>
      <c r="B98" s="101">
        <f t="shared" si="9"/>
        <v>0</v>
      </c>
      <c r="C98" s="87" t="s">
        <v>175</v>
      </c>
      <c r="D98" s="87" t="s">
        <v>6</v>
      </c>
      <c r="E98" s="87"/>
      <c r="F98" s="93">
        <f t="shared" si="8"/>
        <v>95</v>
      </c>
      <c r="G98" s="146">
        <v>0</v>
      </c>
      <c r="H98" s="146">
        <v>0</v>
      </c>
      <c r="I98" s="146">
        <v>0</v>
      </c>
      <c r="J98" s="146">
        <v>0</v>
      </c>
      <c r="K98" s="146">
        <v>0</v>
      </c>
    </row>
    <row r="99" spans="1:11" x14ac:dyDescent="0.25">
      <c r="A99" s="87" t="s">
        <v>149</v>
      </c>
      <c r="B99" s="101">
        <f t="shared" si="9"/>
        <v>0</v>
      </c>
      <c r="C99" s="87" t="s">
        <v>176</v>
      </c>
      <c r="D99" s="87" t="s">
        <v>6</v>
      </c>
      <c r="E99" s="87"/>
      <c r="F99" s="93">
        <f t="shared" si="8"/>
        <v>96</v>
      </c>
      <c r="G99" s="146">
        <v>0</v>
      </c>
      <c r="H99" s="146">
        <v>0</v>
      </c>
      <c r="I99" s="146">
        <v>0</v>
      </c>
      <c r="J99" s="146">
        <v>0</v>
      </c>
      <c r="K99" s="146">
        <v>0</v>
      </c>
    </row>
    <row r="100" spans="1:11" x14ac:dyDescent="0.25">
      <c r="A100" s="87" t="s">
        <v>150</v>
      </c>
      <c r="B100" s="101">
        <f t="shared" si="9"/>
        <v>0</v>
      </c>
      <c r="C100" s="87" t="s">
        <v>177</v>
      </c>
      <c r="D100" s="87" t="s">
        <v>6</v>
      </c>
      <c r="E100" s="87"/>
      <c r="F100" s="93">
        <f t="shared" si="8"/>
        <v>97</v>
      </c>
      <c r="G100" s="146">
        <v>0</v>
      </c>
      <c r="H100" s="146">
        <v>0</v>
      </c>
      <c r="I100" s="146">
        <v>0</v>
      </c>
      <c r="J100" s="146">
        <v>0</v>
      </c>
      <c r="K100" s="146">
        <v>0</v>
      </c>
    </row>
    <row r="101" spans="1:11" x14ac:dyDescent="0.25">
      <c r="A101" s="87" t="s">
        <v>151</v>
      </c>
      <c r="B101" s="101">
        <f t="shared" si="9"/>
        <v>0</v>
      </c>
      <c r="C101" s="87" t="s">
        <v>178</v>
      </c>
      <c r="D101" s="87" t="s">
        <v>6</v>
      </c>
      <c r="E101" s="87"/>
      <c r="F101" s="93">
        <f t="shared" si="8"/>
        <v>98</v>
      </c>
      <c r="G101" s="146">
        <v>0</v>
      </c>
      <c r="H101" s="146">
        <v>0</v>
      </c>
      <c r="I101" s="146">
        <v>0</v>
      </c>
      <c r="J101" s="146">
        <v>0</v>
      </c>
      <c r="K101" s="146">
        <v>0</v>
      </c>
    </row>
    <row r="102" spans="1:11" x14ac:dyDescent="0.25">
      <c r="A102" s="87" t="s">
        <v>152</v>
      </c>
      <c r="B102" s="101">
        <f t="shared" si="9"/>
        <v>0</v>
      </c>
      <c r="C102" s="87" t="s">
        <v>179</v>
      </c>
      <c r="D102" s="87" t="s">
        <v>6</v>
      </c>
      <c r="E102" s="87"/>
      <c r="F102" s="93">
        <f t="shared" si="8"/>
        <v>99</v>
      </c>
      <c r="G102" s="146">
        <v>0</v>
      </c>
      <c r="H102" s="146">
        <v>0</v>
      </c>
      <c r="I102" s="146">
        <v>0</v>
      </c>
      <c r="J102" s="146">
        <v>0</v>
      </c>
      <c r="K102" s="146">
        <v>0</v>
      </c>
    </row>
    <row r="103" spans="1:11" x14ac:dyDescent="0.25">
      <c r="A103" s="87" t="s">
        <v>153</v>
      </c>
      <c r="B103" s="101">
        <f t="shared" si="9"/>
        <v>0</v>
      </c>
      <c r="C103" s="87" t="s">
        <v>180</v>
      </c>
      <c r="D103" s="87" t="s">
        <v>6</v>
      </c>
      <c r="E103" s="87"/>
      <c r="F103" s="93">
        <f t="shared" si="8"/>
        <v>100</v>
      </c>
      <c r="G103" s="146">
        <v>0</v>
      </c>
      <c r="H103" s="146">
        <v>0</v>
      </c>
      <c r="I103" s="146">
        <v>0</v>
      </c>
      <c r="J103" s="146">
        <v>0</v>
      </c>
      <c r="K103" s="146">
        <v>0</v>
      </c>
    </row>
    <row r="104" spans="1:11" x14ac:dyDescent="0.25">
      <c r="A104" s="87" t="s">
        <v>154</v>
      </c>
      <c r="B104" s="101">
        <f t="shared" si="9"/>
        <v>0</v>
      </c>
      <c r="C104" s="87" t="s">
        <v>181</v>
      </c>
      <c r="D104" s="87" t="s">
        <v>6</v>
      </c>
      <c r="E104" s="87"/>
      <c r="F104" s="93">
        <f t="shared" si="8"/>
        <v>101</v>
      </c>
      <c r="G104" s="146">
        <v>0</v>
      </c>
      <c r="H104" s="146">
        <v>0</v>
      </c>
      <c r="I104" s="146">
        <v>0</v>
      </c>
      <c r="J104" s="146">
        <v>0</v>
      </c>
      <c r="K104" s="146">
        <v>0</v>
      </c>
    </row>
    <row r="105" spans="1:11" x14ac:dyDescent="0.25">
      <c r="A105" s="87" t="s">
        <v>155</v>
      </c>
      <c r="B105" s="101">
        <f t="shared" si="9"/>
        <v>0</v>
      </c>
      <c r="C105" s="87" t="s">
        <v>182</v>
      </c>
      <c r="D105" s="87" t="s">
        <v>6</v>
      </c>
      <c r="E105" s="87"/>
      <c r="F105" s="93">
        <f t="shared" si="8"/>
        <v>102</v>
      </c>
      <c r="G105" s="146">
        <v>0</v>
      </c>
      <c r="H105" s="146">
        <v>0</v>
      </c>
      <c r="I105" s="146">
        <v>0</v>
      </c>
      <c r="J105" s="146">
        <v>0</v>
      </c>
      <c r="K105" s="146">
        <v>0</v>
      </c>
    </row>
    <row r="106" spans="1:11" x14ac:dyDescent="0.25">
      <c r="A106" s="87" t="s">
        <v>156</v>
      </c>
      <c r="B106" s="101">
        <f t="shared" si="9"/>
        <v>0</v>
      </c>
      <c r="C106" s="87" t="s">
        <v>183</v>
      </c>
      <c r="D106" s="87" t="s">
        <v>6</v>
      </c>
      <c r="E106" s="87"/>
      <c r="F106" s="93">
        <f t="shared" si="8"/>
        <v>103</v>
      </c>
      <c r="G106" s="146">
        <v>0</v>
      </c>
      <c r="H106" s="146">
        <v>0</v>
      </c>
      <c r="I106" s="146">
        <v>0</v>
      </c>
      <c r="J106" s="146">
        <v>0</v>
      </c>
      <c r="K106" s="146">
        <v>0</v>
      </c>
    </row>
    <row r="107" spans="1:11" x14ac:dyDescent="0.25">
      <c r="A107" s="87" t="s">
        <v>157</v>
      </c>
      <c r="B107" s="101">
        <f t="shared" si="9"/>
        <v>0</v>
      </c>
      <c r="C107" s="87" t="s">
        <v>184</v>
      </c>
      <c r="D107" s="87" t="s">
        <v>6</v>
      </c>
      <c r="E107" s="87"/>
      <c r="F107" s="93">
        <f t="shared" si="8"/>
        <v>104</v>
      </c>
      <c r="G107" s="146">
        <v>0</v>
      </c>
      <c r="H107" s="146">
        <v>0</v>
      </c>
      <c r="I107" s="146">
        <v>0</v>
      </c>
      <c r="J107" s="146">
        <v>0</v>
      </c>
      <c r="K107" s="146">
        <v>0</v>
      </c>
    </row>
    <row r="108" spans="1:11" x14ac:dyDescent="0.25"/>
    <row r="109" spans="1:11" hidden="1" x14ac:dyDescent="0.25"/>
    <row r="110" spans="1:11" hidden="1" x14ac:dyDescent="0.25"/>
    <row r="111" spans="1:11" hidden="1" x14ac:dyDescent="0.25"/>
    <row r="112" spans="1:11"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sheetData>
  <sheetProtection algorithmName="SHA-512" hashValue="G7gD+oZd8FZcxLxQxbhG+E3K/LHnRXfpqAAr6/3sh+IfmoceLE3+bd2utiL1Ljq+czUZDFL7YSIaUrVQAlP6zw==" saltValue="sEiJot4PxUKyyYpjN9Z0JQ==" spinCount="100000" sheet="1" objects="1" scenarios="1"/>
  <dataValidations count="1">
    <dataValidation type="list" allowBlank="1" showInputMessage="1" showErrorMessage="1" sqref="C2" xr:uid="{00000000-0002-0000-0100-000000000000}">
      <formula1>$G$4:$K$4</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C88"/>
  <sheetViews>
    <sheetView zoomScale="70" zoomScaleNormal="70" workbookViewId="0">
      <selection activeCell="F28" sqref="A20:AA43"/>
    </sheetView>
  </sheetViews>
  <sheetFormatPr defaultColWidth="0" defaultRowHeight="12" zeroHeight="1" x14ac:dyDescent="0.2"/>
  <cols>
    <col min="1" max="1" width="47.28515625" style="57" bestFit="1" customWidth="1"/>
    <col min="2" max="2" width="15.140625" style="57" bestFit="1" customWidth="1"/>
    <col min="3" max="3" width="14.140625" style="57" bestFit="1" customWidth="1"/>
    <col min="4" max="6" width="13.140625" style="57" bestFit="1" customWidth="1"/>
    <col min="7" max="7" width="15" style="57" customWidth="1"/>
    <col min="8" max="8" width="13.140625" style="57" bestFit="1" customWidth="1"/>
    <col min="9" max="9" width="14.140625" style="57" bestFit="1" customWidth="1"/>
    <col min="10" max="10" width="13.140625" style="57" bestFit="1" customWidth="1"/>
    <col min="11" max="11" width="14.140625" style="57" bestFit="1" customWidth="1"/>
    <col min="12" max="15" width="13.140625" style="57" bestFit="1" customWidth="1"/>
    <col min="16" max="16" width="14.140625" style="57" bestFit="1" customWidth="1"/>
    <col min="17" max="27" width="13.140625" style="57" bestFit="1" customWidth="1"/>
    <col min="28" max="28" width="8.85546875" style="57" hidden="1" customWidth="1"/>
    <col min="29" max="29" width="0" style="57" hidden="1" customWidth="1"/>
    <col min="30" max="16384" width="8.85546875" style="57" hidden="1"/>
  </cols>
  <sheetData>
    <row r="1" spans="1:28" s="4" customFormat="1" x14ac:dyDescent="0.2">
      <c r="A1" s="22"/>
      <c r="B1" s="23"/>
      <c r="C1" s="23"/>
      <c r="D1" s="23"/>
      <c r="E1" s="23"/>
      <c r="F1" s="23"/>
      <c r="G1" s="23"/>
      <c r="H1" s="23"/>
      <c r="I1" s="23"/>
      <c r="J1" s="23"/>
      <c r="K1" s="23"/>
      <c r="L1" s="23"/>
      <c r="M1" s="23"/>
      <c r="N1" s="23"/>
      <c r="O1" s="23"/>
      <c r="P1" s="23"/>
      <c r="Q1" s="23"/>
      <c r="R1" s="23"/>
      <c r="S1" s="23"/>
      <c r="T1" s="23"/>
      <c r="U1" s="23"/>
      <c r="V1" s="23"/>
      <c r="W1" s="23"/>
      <c r="X1" s="23"/>
      <c r="Y1" s="23"/>
      <c r="Z1" s="23"/>
      <c r="AA1" s="23"/>
      <c r="AB1" s="21"/>
    </row>
    <row r="2" spans="1:28" s="4" customFormat="1" x14ac:dyDescent="0.2">
      <c r="A2" s="5" t="s">
        <v>28</v>
      </c>
      <c r="B2" s="6">
        <v>0</v>
      </c>
      <c r="C2" s="6">
        <v>1</v>
      </c>
      <c r="D2" s="6">
        <v>2</v>
      </c>
      <c r="E2" s="6">
        <v>3</v>
      </c>
      <c r="F2" s="6">
        <v>4</v>
      </c>
      <c r="G2" s="6">
        <v>5</v>
      </c>
      <c r="H2" s="6">
        <v>6</v>
      </c>
      <c r="I2" s="6">
        <v>7</v>
      </c>
      <c r="J2" s="6">
        <v>8</v>
      </c>
      <c r="K2" s="6">
        <v>9</v>
      </c>
      <c r="L2" s="6">
        <v>10</v>
      </c>
      <c r="M2" s="6">
        <v>11</v>
      </c>
      <c r="N2" s="6">
        <v>12</v>
      </c>
      <c r="O2" s="6">
        <v>13</v>
      </c>
      <c r="P2" s="6">
        <v>14</v>
      </c>
      <c r="Q2" s="6">
        <v>15</v>
      </c>
      <c r="R2" s="6">
        <v>16</v>
      </c>
      <c r="S2" s="6">
        <v>17</v>
      </c>
      <c r="T2" s="6">
        <v>18</v>
      </c>
      <c r="U2" s="6">
        <v>19</v>
      </c>
      <c r="V2" s="6">
        <v>20</v>
      </c>
      <c r="W2" s="6">
        <v>21</v>
      </c>
      <c r="X2" s="6">
        <v>22</v>
      </c>
      <c r="Y2" s="6">
        <v>23</v>
      </c>
      <c r="Z2" s="6">
        <v>24</v>
      </c>
      <c r="AA2" s="6">
        <v>25</v>
      </c>
    </row>
    <row r="3" spans="1:28" s="10" customFormat="1" x14ac:dyDescent="0.2">
      <c r="A3" s="7" t="s">
        <v>29</v>
      </c>
      <c r="B3" s="8"/>
      <c r="C3" s="8"/>
      <c r="D3" s="8"/>
      <c r="E3" s="8"/>
      <c r="F3" s="8"/>
      <c r="G3" s="8"/>
      <c r="H3" s="8"/>
      <c r="I3" s="8"/>
      <c r="J3" s="8"/>
      <c r="K3" s="8"/>
      <c r="L3" s="9"/>
      <c r="M3" s="9"/>
      <c r="N3" s="9"/>
      <c r="O3" s="9"/>
      <c r="P3" s="9"/>
      <c r="Q3" s="9"/>
      <c r="R3" s="9"/>
      <c r="S3" s="9"/>
      <c r="T3" s="9"/>
      <c r="U3" s="9"/>
      <c r="V3" s="9"/>
      <c r="W3" s="9"/>
      <c r="X3" s="9"/>
      <c r="Y3" s="9"/>
      <c r="Z3" s="9"/>
      <c r="AA3" s="9"/>
    </row>
    <row r="4" spans="1:28" s="4" customFormat="1" x14ac:dyDescent="0.2">
      <c r="A4" s="21" t="str">
        <f>Parameters!A23</f>
        <v>Standaard betaling passieve laag</v>
      </c>
      <c r="B4" s="24">
        <v>0</v>
      </c>
      <c r="C4" s="24">
        <f>Penetratiegraad!D5*ink_passief*12*POWER(1+ABS(ink_passief_index),SIGN(ink_passief_index)*C$2)</f>
        <v>348840</v>
      </c>
      <c r="D4" s="24">
        <f>Penetratiegraad!E5*ink_passief*12*POWER(1+ABS(ink_passief_index),SIGN(ink_passief_index)*D$2)</f>
        <v>355406.4</v>
      </c>
      <c r="E4" s="24">
        <f>Penetratiegraad!F5*ink_passief*12*POWER(1+ABS(ink_passief_index),SIGN(ink_passief_index)*E$2)</f>
        <v>361710.14400000003</v>
      </c>
      <c r="F4" s="24">
        <f>Penetratiegraad!G5*ink_passief*12*POWER(1+ABS(ink_passief_index),SIGN(ink_passief_index)*F$2)</f>
        <v>367761.73823999998</v>
      </c>
      <c r="G4" s="24">
        <f>Penetratiegraad!H5*ink_passief*12*POWER(1+ABS(ink_passief_index),SIGN(ink_passief_index)*G$2)</f>
        <v>373571.26871039998</v>
      </c>
      <c r="H4" s="24">
        <f>Penetratiegraad!I5*ink_passief*12*POWER(1+ABS(ink_passief_index),SIGN(ink_passief_index)*H$2)</f>
        <v>379148.41796198406</v>
      </c>
      <c r="I4" s="24">
        <f>Penetratiegraad!J5*ink_passief*12*POWER(1+ABS(ink_passief_index),SIGN(ink_passief_index)*I$2)</f>
        <v>384502.48124350468</v>
      </c>
      <c r="J4" s="24">
        <f>Penetratiegraad!K5*ink_passief*12*POWER(1+ABS(ink_passief_index),SIGN(ink_passief_index)*J$2)</f>
        <v>389642.38199376443</v>
      </c>
      <c r="K4" s="24">
        <f>Penetratiegraad!L5*ink_passief*12*POWER(1+ABS(ink_passief_index),SIGN(ink_passief_index)*K$2)</f>
        <v>394576.68671401381</v>
      </c>
      <c r="L4" s="24">
        <f>Penetratiegraad!M5*ink_passief*12*POWER(1+ABS(ink_passief_index),SIGN(ink_passief_index)*L$2)</f>
        <v>399313.61924545333</v>
      </c>
      <c r="M4" s="24">
        <f>Penetratiegraad!N5*ink_passief*12*POWER(1+ABS(ink_passief_index),SIGN(ink_passief_index)*M$2)</f>
        <v>403861.07447563513</v>
      </c>
      <c r="N4" s="24">
        <f>Penetratiegraad!O5*ink_passief*12*POWER(1+ABS(ink_passief_index),SIGN(ink_passief_index)*N$2)</f>
        <v>408226.63149660977</v>
      </c>
      <c r="O4" s="24">
        <f>Penetratiegraad!P5*ink_passief*12*POWER(1+ABS(ink_passief_index),SIGN(ink_passief_index)*O$2)</f>
        <v>412417.56623674533</v>
      </c>
      <c r="P4" s="24">
        <f>Penetratiegraad!Q5*ink_passief*12*POWER(1+ABS(ink_passief_index),SIGN(ink_passief_index)*P$2)</f>
        <v>416440.86358727555</v>
      </c>
      <c r="Q4" s="24">
        <f>Penetratiegraad!R5*ink_passief*12*POWER(1+ABS(ink_passief_index),SIGN(ink_passief_index)*Q$2)</f>
        <v>420303.22904378455</v>
      </c>
      <c r="R4" s="24">
        <f>Penetratiegraad!S5*ink_passief*12*POWER(1+ABS(ink_passief_index),SIGN(ink_passief_index)*R$2)</f>
        <v>424011.09988203319</v>
      </c>
      <c r="S4" s="24">
        <f>Penetratiegraad!T5*ink_passief*12*POWER(1+ABS(ink_passief_index),SIGN(ink_passief_index)*S$2)</f>
        <v>427570.65588675183</v>
      </c>
      <c r="T4" s="24">
        <f>Penetratiegraad!U5*ink_passief*12*POWER(1+ABS(ink_passief_index),SIGN(ink_passief_index)*T$2)</f>
        <v>430987.82965128182</v>
      </c>
      <c r="U4" s="24">
        <f>Penetratiegraad!V5*ink_passief*12*POWER(1+ABS(ink_passief_index),SIGN(ink_passief_index)*U$2)</f>
        <v>434268.31646523054</v>
      </c>
      <c r="V4" s="24">
        <f>Penetratiegraad!W5*ink_passief*12*POWER(1+ABS(ink_passief_index),SIGN(ink_passief_index)*V$2)</f>
        <v>437417.58380662126</v>
      </c>
      <c r="W4" s="24">
        <f>Penetratiegraad!X5*ink_passief*12*POWER(1+ABS(ink_passief_index),SIGN(ink_passief_index)*W$2)</f>
        <v>440440.88045435643</v>
      </c>
      <c r="X4" s="24">
        <f>Penetratiegraad!Y5*ink_passief*12*POWER(1+ABS(ink_passief_index),SIGN(ink_passief_index)*X$2)</f>
        <v>443343.24523618224</v>
      </c>
      <c r="Y4" s="24">
        <f>Penetratiegraad!Z5*ink_passief*12*POWER(1+ABS(ink_passief_index),SIGN(ink_passief_index)*Y$2)</f>
        <v>446129.51542673493</v>
      </c>
      <c r="Z4" s="24">
        <f>Penetratiegraad!AA5*ink_passief*12*POWER(1+ABS(ink_passief_index),SIGN(ink_passief_index)*Z$2)</f>
        <v>448804.33480966551</v>
      </c>
      <c r="AA4" s="24">
        <f>Penetratiegraad!AB5*ink_passief*12*POWER(1+ABS(ink_passief_index),SIGN(ink_passief_index)*AA$2)</f>
        <v>451372.16141727887</v>
      </c>
      <c r="AB4" s="21"/>
    </row>
    <row r="5" spans="1:28" s="4" customFormat="1" x14ac:dyDescent="0.2">
      <c r="A5" s="21" t="s">
        <v>322</v>
      </c>
      <c r="B5" s="24">
        <v>0</v>
      </c>
      <c r="C5" s="24">
        <f>ink_start_maand*12*Penetratiegraad!D9*POWER(1+ABS(ink_start_maand_index),SIGN(ink_start_maand_index)*C$2)</f>
        <v>113243.80165289255</v>
      </c>
      <c r="D5" s="58">
        <f>ink_start_maand*12*Penetratiegraad!E9*POWER(1+ABS(ink_start_maand_index),SIGN(ink_start_maand_index)*D$2)</f>
        <v>114942.45867768592</v>
      </c>
      <c r="E5" s="58">
        <f>ink_start_maand*12*Penetratiegraad!F9*POWER(1+ABS(ink_start_maand_index),SIGN(ink_start_maand_index)*E$2)</f>
        <v>116666.59555785119</v>
      </c>
      <c r="F5" s="58">
        <f>ink_start_maand*12*Penetratiegraad!G9*POWER(1+ABS(ink_start_maand_index),SIGN(ink_start_maand_index)*F$2)</f>
        <v>118416.59449121894</v>
      </c>
      <c r="G5" s="58">
        <f>ink_start_maand*12*Penetratiegraad!H9*POWER(1+ABS(ink_start_maand_index),SIGN(ink_start_maand_index)*G$2)</f>
        <v>120192.84340858721</v>
      </c>
      <c r="H5" s="58">
        <f>ink_start_maand*12*Penetratiegraad!I9*POWER(1+ABS(ink_start_maand_index),SIGN(ink_start_maand_index)*H$2)</f>
        <v>121995.736059716</v>
      </c>
      <c r="I5" s="58">
        <f>ink_start_maand*12*Penetratiegraad!J9*POWER(1+ABS(ink_start_maand_index),SIGN(ink_start_maand_index)*I$2)</f>
        <v>123825.67210061171</v>
      </c>
      <c r="J5" s="58">
        <f>ink_start_maand*12*Penetratiegraad!K9*POWER(1+ABS(ink_start_maand_index),SIGN(ink_start_maand_index)*J$2)</f>
        <v>125683.05718212089</v>
      </c>
      <c r="K5" s="58">
        <f>ink_start_maand*12*Penetratiegraad!L9*POWER(1+ABS(ink_start_maand_index),SIGN(ink_start_maand_index)*K$2)</f>
        <v>127568.30303985268</v>
      </c>
      <c r="L5" s="58">
        <f>ink_start_maand*12*Penetratiegraad!M9*POWER(1+ABS(ink_start_maand_index),SIGN(ink_start_maand_index)*L$2)</f>
        <v>129481.82758545046</v>
      </c>
      <c r="M5" s="58">
        <f>ink_start_maand*12*Penetratiegraad!N9*POWER(1+ABS(ink_start_maand_index),SIGN(ink_start_maand_index)*M$2)</f>
        <v>131424.0549992322</v>
      </c>
      <c r="N5" s="58">
        <f>ink_start_maand*12*Penetratiegraad!O9*POWER(1+ABS(ink_start_maand_index),SIGN(ink_start_maand_index)*N$2)</f>
        <v>133395.41582422066</v>
      </c>
      <c r="O5" s="58">
        <f>ink_start_maand*12*Penetratiegraad!P9*POWER(1+ABS(ink_start_maand_index),SIGN(ink_start_maand_index)*O$2)</f>
        <v>135396.34706158395</v>
      </c>
      <c r="P5" s="58">
        <f>ink_start_maand*12*Penetratiegraad!Q9*POWER(1+ABS(ink_start_maand_index),SIGN(ink_start_maand_index)*P$2)</f>
        <v>137427.29226750767</v>
      </c>
      <c r="Q5" s="58">
        <f>ink_start_maand*12*Penetratiegraad!R9*POWER(1+ABS(ink_start_maand_index),SIGN(ink_start_maand_index)*Q$2)</f>
        <v>139488.70165152027</v>
      </c>
      <c r="R5" s="58">
        <f>ink_start_maand*12*Penetratiegraad!S9*POWER(1+ABS(ink_start_maand_index),SIGN(ink_start_maand_index)*R$2)</f>
        <v>141581.03217629305</v>
      </c>
      <c r="S5" s="58">
        <f>ink_start_maand*12*Penetratiegraad!T9*POWER(1+ABS(ink_start_maand_index),SIGN(ink_start_maand_index)*S$2)</f>
        <v>143704.74765893744</v>
      </c>
      <c r="T5" s="58">
        <f>ink_start_maand*12*Penetratiegraad!U9*POWER(1+ABS(ink_start_maand_index),SIGN(ink_start_maand_index)*T$2)</f>
        <v>145860.3188738215</v>
      </c>
      <c r="U5" s="58">
        <f>ink_start_maand*12*Penetratiegraad!V9*POWER(1+ABS(ink_start_maand_index),SIGN(ink_start_maand_index)*U$2)</f>
        <v>148048.22365692881</v>
      </c>
      <c r="V5" s="58">
        <f>ink_start_maand*12*Penetratiegraad!W9*POWER(1+ABS(ink_start_maand_index),SIGN(ink_start_maand_index)*V$2)</f>
        <v>150268.94701178267</v>
      </c>
      <c r="W5" s="58">
        <f>ink_start_maand*12*Penetratiegraad!X9*POWER(1+ABS(ink_start_maand_index),SIGN(ink_start_maand_index)*W$2)</f>
        <v>0</v>
      </c>
      <c r="X5" s="58">
        <f>ink_start_maand*12*Penetratiegraad!Y9*POWER(1+ABS(ink_start_maand_index),SIGN(ink_start_maand_index)*X$2)</f>
        <v>0</v>
      </c>
      <c r="Y5" s="58">
        <f>ink_start_maand*12*Penetratiegraad!Z9*POWER(1+ABS(ink_start_maand_index),SIGN(ink_start_maand_index)*Y$2)</f>
        <v>0</v>
      </c>
      <c r="Z5" s="58">
        <f>ink_start_maand*12*Penetratiegraad!AA9*POWER(1+ABS(ink_start_maand_index),SIGN(ink_start_maand_index)*Z$2)</f>
        <v>0</v>
      </c>
      <c r="AA5" s="58">
        <f>ink_start_maand*12*Penetratiegraad!AB9*POWER(1+ABS(ink_start_maand_index),SIGN(ink_start_maand_index)*AA$2)</f>
        <v>0</v>
      </c>
      <c r="AB5" s="21"/>
    </row>
    <row r="6" spans="1:28" s="4" customFormat="1" x14ac:dyDescent="0.2">
      <c r="A6" s="21" t="s">
        <v>323</v>
      </c>
      <c r="B6" s="24">
        <v>0</v>
      </c>
      <c r="C6" s="24">
        <f>ink_na_maand*12*Penetratiegraad!D10*POWER(1+ABS(ink_na_maand_index),SIGN(ink_na_maand_index)*C$2)</f>
        <v>2264.8760330578511</v>
      </c>
      <c r="D6" s="58">
        <f>ink_na_maand*12*Penetratiegraad!E10*POWER(1+ABS(ink_na_maand_index),SIGN(ink_na_maand_index)*D$2)</f>
        <v>4505.7443801653017</v>
      </c>
      <c r="E6" s="58">
        <f>ink_na_maand*12*Penetratiegraad!F10*POWER(1+ABS(ink_na_maand_index),SIGN(ink_na_maand_index)*E$2)</f>
        <v>6723.7292351900869</v>
      </c>
      <c r="F6" s="58">
        <f>ink_na_maand*12*Penetratiegraad!G10*POWER(1+ABS(ink_na_maand_index),SIGN(ink_na_maand_index)*F$2)</f>
        <v>8919.9336565935955</v>
      </c>
      <c r="G6" s="58">
        <f>ink_na_maand*12*Penetratiegraad!H10*POWER(1+ABS(ink_na_maand_index),SIGN(ink_na_maand_index)*G$2)</f>
        <v>11095.440223156533</v>
      </c>
      <c r="H6" s="58">
        <f>ink_na_maand*12*Penetratiegraad!I10*POWER(1+ABS(ink_na_maand_index),SIGN(ink_na_maand_index)*H$2)</f>
        <v>13251.311674638058</v>
      </c>
      <c r="I6" s="58">
        <f>ink_na_maand*12*Penetratiegraad!J10*POWER(1+ABS(ink_na_maand_index),SIGN(ink_na_maand_index)*I$2)</f>
        <v>15388.591537779554</v>
      </c>
      <c r="J6" s="58">
        <f>ink_na_maand*12*Penetratiegraad!K10*POWER(1+ABS(ink_na_maand_index),SIGN(ink_na_maand_index)*J$2)</f>
        <v>17508.304738054801</v>
      </c>
      <c r="K6" s="58">
        <f>ink_na_maand*12*Penetratiegraad!L10*POWER(1+ABS(ink_na_maand_index),SIGN(ink_na_maand_index)*K$2)</f>
        <v>19611.458197557651</v>
      </c>
      <c r="L6" s="58">
        <f>ink_na_maand*12*Penetratiegraad!M10*POWER(1+ABS(ink_na_maand_index),SIGN(ink_na_maand_index)*L$2)</f>
        <v>21699.041419409197</v>
      </c>
      <c r="M6" s="58">
        <f>ink_na_maand*12*Penetratiegraad!N10*POWER(1+ABS(ink_na_maand_index),SIGN(ink_na_maand_index)*M$2)</f>
        <v>23772.027059056949</v>
      </c>
      <c r="N6" s="58">
        <f>ink_na_maand*12*Penetratiegraad!O10*POWER(1+ABS(ink_na_maand_index),SIGN(ink_na_maand_index)*N$2)</f>
        <v>25831.371482829491</v>
      </c>
      <c r="O6" s="58">
        <f>ink_na_maand*12*Penetratiegraad!P10*POWER(1+ABS(ink_na_maand_index),SIGN(ink_na_maand_index)*O$2)</f>
        <v>27878.015314100739</v>
      </c>
      <c r="P6" s="58">
        <f>ink_na_maand*12*Penetratiegraad!Q10*POWER(1+ABS(ink_na_maand_index),SIGN(ink_na_maand_index)*P$2)</f>
        <v>29912.883967409911</v>
      </c>
      <c r="Q6" s="58">
        <f>ink_na_maand*12*Penetratiegraad!R10*POWER(1+ABS(ink_na_maand_index),SIGN(ink_na_maand_index)*Q$2)</f>
        <v>31936.888170874612</v>
      </c>
      <c r="R6" s="58">
        <f>ink_na_maand*12*Penetratiegraad!S10*POWER(1+ABS(ink_na_maand_index),SIGN(ink_na_maand_index)*R$2)</f>
        <v>33950.924477226079</v>
      </c>
      <c r="S6" s="58">
        <f>ink_na_maand*12*Penetratiegraad!T10*POWER(1+ABS(ink_na_maand_index),SIGN(ink_na_maand_index)*S$2)</f>
        <v>35955.875763787837</v>
      </c>
      <c r="T6" s="58">
        <f>ink_na_maand*12*Penetratiegraad!U10*POWER(1+ABS(ink_na_maand_index),SIGN(ink_na_maand_index)*T$2)</f>
        <v>37952.611721711299</v>
      </c>
      <c r="U6" s="58">
        <f>ink_na_maand*12*Penetratiegraad!V10*POWER(1+ABS(ink_na_maand_index),SIGN(ink_na_maand_index)*U$2)</f>
        <v>39941.989334774087</v>
      </c>
      <c r="V6" s="58">
        <f>ink_na_maand*12*Penetratiegraad!W10*POWER(1+ABS(ink_na_maand_index),SIGN(ink_na_maand_index)*V$2)</f>
        <v>41924.853348039498</v>
      </c>
      <c r="W6" s="58">
        <f>ink_na_maand*12*Penetratiegraad!X10*POWER(1+ABS(ink_na_maand_index),SIGN(ink_na_maand_index)*W$2)</f>
        <v>40851.577102329698</v>
      </c>
      <c r="X6" s="58">
        <f>ink_na_maand*12*Penetratiegraad!Y10*POWER(1+ABS(ink_na_maand_index),SIGN(ink_na_maand_index)*X$2)</f>
        <v>39805.77672851002</v>
      </c>
      <c r="Y6" s="58">
        <f>ink_na_maand*12*Penetratiegraad!Z10*POWER(1+ABS(ink_na_maand_index),SIGN(ink_na_maand_index)*Y$2)</f>
        <v>38786.74884426019</v>
      </c>
      <c r="Z6" s="58">
        <f>ink_na_maand*12*Penetratiegraad!AA10*POWER(1+ABS(ink_na_maand_index),SIGN(ink_na_maand_index)*Z$2)</f>
        <v>37793.808073847111</v>
      </c>
      <c r="AA6" s="58">
        <f>ink_na_maand*12*Penetratiegraad!AB10*POWER(1+ABS(ink_na_maand_index),SIGN(ink_na_maand_index)*AA$2)</f>
        <v>36826.286587156646</v>
      </c>
      <c r="AB6" s="21"/>
    </row>
    <row r="7" spans="1:28" s="4" customFormat="1" x14ac:dyDescent="0.2">
      <c r="A7" s="21" t="s">
        <v>324</v>
      </c>
      <c r="B7" s="24">
        <f>Penetratiegraad!C13*ink_start_eenmalig</f>
        <v>1084710.7438016529</v>
      </c>
      <c r="C7" s="24">
        <f>IF(Penetratiegraad!D13&lt;0,0,ink_start_eenmalig*Penetratiegraad!D13)</f>
        <v>0</v>
      </c>
      <c r="D7" s="24">
        <f>IF(Penetratiegraad!E13&lt;0,0,ink_start_eenmalig*Penetratiegraad!E13)</f>
        <v>0</v>
      </c>
      <c r="E7" s="24">
        <f>IF(Penetratiegraad!F13&lt;0,0,ink_start_eenmalig*Penetratiegraad!F13)</f>
        <v>0</v>
      </c>
      <c r="F7" s="24">
        <f>IF(Penetratiegraad!G13&lt;0,0,ink_start_eenmalig*Penetratiegraad!G13)</f>
        <v>0</v>
      </c>
      <c r="G7" s="24">
        <f>IF(Penetratiegraad!H13&lt;0,0,ink_start_eenmalig*Penetratiegraad!H13)</f>
        <v>0</v>
      </c>
      <c r="H7" s="24">
        <f>IF(Penetratiegraad!I13&lt;0,0,ink_start_eenmalig*Penetratiegraad!I13)</f>
        <v>0</v>
      </c>
      <c r="I7" s="24">
        <f>IF(Penetratiegraad!J13&lt;0,0,ink_start_eenmalig*Penetratiegraad!J13)</f>
        <v>0</v>
      </c>
      <c r="J7" s="24">
        <f>IF(Penetratiegraad!K13&lt;0,0,ink_start_eenmalig*Penetratiegraad!K13)</f>
        <v>0</v>
      </c>
      <c r="K7" s="24">
        <f>IF(Penetratiegraad!L13&lt;0,0,ink_start_eenmalig*Penetratiegraad!L13)</f>
        <v>0</v>
      </c>
      <c r="L7" s="24">
        <f>IF(Penetratiegraad!M13&lt;0,0,ink_start_eenmalig*Penetratiegraad!M13)</f>
        <v>0</v>
      </c>
      <c r="M7" s="24">
        <f>IF(Penetratiegraad!N13&lt;0,0,ink_start_eenmalig*Penetratiegraad!N13)</f>
        <v>0</v>
      </c>
      <c r="N7" s="24">
        <f>IF(Penetratiegraad!O13&lt;0,0,ink_start_eenmalig*Penetratiegraad!O13)</f>
        <v>0</v>
      </c>
      <c r="O7" s="24">
        <f>IF(Penetratiegraad!P13&lt;0,0,ink_start_eenmalig*Penetratiegraad!P13)</f>
        <v>0</v>
      </c>
      <c r="P7" s="24">
        <f>IF(Penetratiegraad!Q13&lt;0,0,ink_start_eenmalig*Penetratiegraad!Q13)</f>
        <v>0</v>
      </c>
      <c r="Q7" s="24">
        <f>IF(Penetratiegraad!R13&lt;0,0,ink_start_eenmalig*Penetratiegraad!R13)</f>
        <v>0</v>
      </c>
      <c r="R7" s="24">
        <f>IF(Penetratiegraad!S13&lt;0,0,ink_start_eenmalig*Penetratiegraad!S13)</f>
        <v>0</v>
      </c>
      <c r="S7" s="24">
        <f>IF(Penetratiegraad!T13&lt;0,0,ink_start_eenmalig*Penetratiegraad!T13)</f>
        <v>0</v>
      </c>
      <c r="T7" s="24">
        <f>IF(Penetratiegraad!U13&lt;0,0,ink_start_eenmalig*Penetratiegraad!U13)</f>
        <v>0</v>
      </c>
      <c r="U7" s="24">
        <f>IF(Penetratiegraad!V13&lt;0,0,ink_start_eenmalig*Penetratiegraad!V13)</f>
        <v>0</v>
      </c>
      <c r="V7" s="24">
        <f>IF(Penetratiegraad!W13&lt;0,0,ink_start_eenmalig*Penetratiegraad!W13)</f>
        <v>0</v>
      </c>
      <c r="W7" s="24">
        <f>IF(Penetratiegraad!X13&lt;0,0,ink_start_eenmalig*Penetratiegraad!X13)</f>
        <v>0</v>
      </c>
      <c r="X7" s="24">
        <f>IF(Penetratiegraad!Y13&lt;0,0,ink_start_eenmalig*Penetratiegraad!Y13)</f>
        <v>0</v>
      </c>
      <c r="Y7" s="24">
        <f>IF(Penetratiegraad!Z13&lt;0,0,ink_start_eenmalig*Penetratiegraad!Z13)</f>
        <v>0</v>
      </c>
      <c r="Z7" s="24">
        <f>IF(Penetratiegraad!AA13&lt;0,0,ink_start_eenmalig*Penetratiegraad!AA13)</f>
        <v>0</v>
      </c>
      <c r="AA7" s="24">
        <f>IF(Penetratiegraad!AB13&lt;0,0,ink_start_eenmalig*Penetratiegraad!AB13)</f>
        <v>0</v>
      </c>
      <c r="AB7" s="21"/>
    </row>
    <row r="8" spans="1:28" s="4" customFormat="1" x14ac:dyDescent="0.2">
      <c r="A8" s="21" t="s">
        <v>325</v>
      </c>
      <c r="B8" s="24">
        <f>Penetratiegraad!C14</f>
        <v>0</v>
      </c>
      <c r="C8" s="24">
        <f>IF(Penetratiegraad!D14&lt;0,0,ink_na_eenmalig*Penetratiegraad!D14)</f>
        <v>21694.21487603306</v>
      </c>
      <c r="D8" s="58">
        <f>IF(Penetratiegraad!E14&lt;0,0,ink_na_eenmalig*Penetratiegraad!E14)</f>
        <v>20826.44628099187</v>
      </c>
      <c r="E8" s="58">
        <f>IF(Penetratiegraad!F14&lt;0,0,ink_na_eenmalig*Penetratiegraad!F14)</f>
        <v>19993.388429752005</v>
      </c>
      <c r="F8" s="58">
        <f>IF(Penetratiegraad!G14&lt;0,0,ink_na_eenmalig*Penetratiegraad!G14)</f>
        <v>19193.652892561942</v>
      </c>
      <c r="G8" s="58">
        <f>IF(Penetratiegraad!H14&lt;0,0,ink_na_eenmalig*Penetratiegraad!H14)</f>
        <v>18425.906776859418</v>
      </c>
      <c r="H8" s="58">
        <f>IF(Penetratiegraad!I14&lt;0,0,ink_na_eenmalig*Penetratiegraad!I14)</f>
        <v>17688.870505785271</v>
      </c>
      <c r="I8" s="58">
        <f>IF(Penetratiegraad!J14&lt;0,0,ink_na_eenmalig*Penetratiegraad!J14)</f>
        <v>16981.315685553698</v>
      </c>
      <c r="J8" s="58">
        <f>IF(Penetratiegraad!K14&lt;0,0,ink_na_eenmalig*Penetratiegraad!K14)</f>
        <v>16302.063058131444</v>
      </c>
      <c r="K8" s="58">
        <f>IF(Penetratiegraad!L14&lt;0,0,ink_na_eenmalig*Penetratiegraad!L14)</f>
        <v>15649.980535806311</v>
      </c>
      <c r="L8" s="58">
        <f>IF(Penetratiegraad!M14&lt;0,0,ink_na_eenmalig*Penetratiegraad!M14)</f>
        <v>15023.981314374218</v>
      </c>
      <c r="M8" s="58">
        <f>IF(Penetratiegraad!N14&lt;0,0,ink_na_eenmalig*Penetratiegraad!N14)</f>
        <v>14423.022061798945</v>
      </c>
      <c r="N8" s="58">
        <f>IF(Penetratiegraad!O14&lt;0,0,ink_na_eenmalig*Penetratiegraad!O14)</f>
        <v>13846.101179327079</v>
      </c>
      <c r="O8" s="58">
        <f>IF(Penetratiegraad!P14&lt;0,0,ink_na_eenmalig*Penetratiegraad!P14)</f>
        <v>13292.257132154069</v>
      </c>
      <c r="P8" s="58">
        <f>IF(Penetratiegraad!Q14&lt;0,0,ink_na_eenmalig*Penetratiegraad!Q14)</f>
        <v>12760.566846867952</v>
      </c>
      <c r="Q8" s="58">
        <f>IF(Penetratiegraad!R14&lt;0,0,ink_na_eenmalig*Penetratiegraad!R14)</f>
        <v>12250.144172993103</v>
      </c>
      <c r="R8" s="58">
        <f>IF(Penetratiegraad!S14&lt;0,0,ink_na_eenmalig*Penetratiegraad!S14)</f>
        <v>11760.138406073431</v>
      </c>
      <c r="S8" s="58">
        <f>IF(Penetratiegraad!T14&lt;0,0,ink_na_eenmalig*Penetratiegraad!T14)</f>
        <v>11289.732869830514</v>
      </c>
      <c r="T8" s="58">
        <f>IF(Penetratiegraad!U14&lt;0,0,ink_na_eenmalig*Penetratiegraad!U14)</f>
        <v>10838.143555037333</v>
      </c>
      <c r="U8" s="58">
        <f>IF(Penetratiegraad!V14&lt;0,0,ink_na_eenmalig*Penetratiegraad!V14)</f>
        <v>10404.617812835964</v>
      </c>
      <c r="V8" s="58">
        <f>IF(Penetratiegraad!W14&lt;0,0,ink_na_eenmalig*Penetratiegraad!W14)</f>
        <v>9988.4331003222487</v>
      </c>
      <c r="W8" s="58">
        <f>IF(Penetratiegraad!X14&lt;0,0,ink_na_eenmalig*Penetratiegraad!X14)</f>
        <v>9588.8957763096023</v>
      </c>
      <c r="X8" s="58">
        <f>IF(Penetratiegraad!Y14&lt;0,0,ink_na_eenmalig*Penetratiegraad!Y14)</f>
        <v>9205.3399452569556</v>
      </c>
      <c r="Y8" s="58">
        <f>IF(Penetratiegraad!Z14&lt;0,0,ink_na_eenmalig*Penetratiegraad!Z14)</f>
        <v>8837.126347446947</v>
      </c>
      <c r="Z8" s="58">
        <f>IF(Penetratiegraad!AA14&lt;0,0,ink_na_eenmalig*Penetratiegraad!AA14)</f>
        <v>8483.6412935488188</v>
      </c>
      <c r="AA8" s="58">
        <f>IF(Penetratiegraad!AB14&lt;0,0,ink_na_eenmalig*Penetratiegraad!AB14)</f>
        <v>8144.295641807018</v>
      </c>
      <c r="AB8" s="21"/>
    </row>
    <row r="9" spans="1:28" s="4" customFormat="1" x14ac:dyDescent="0.2">
      <c r="A9" s="25" t="str">
        <f>Parameters!A15</f>
        <v>Jaarlijkste organisatiekosten</v>
      </c>
      <c r="B9" s="24">
        <v>0</v>
      </c>
      <c r="C9" s="24">
        <f t="shared" ref="C9:AA9" si="0">-kost_org*POWER(1+ABS(kost_org_index),SIGN(kost_org_index)*C$2)</f>
        <v>-76124.999999999985</v>
      </c>
      <c r="D9" s="58">
        <f t="shared" si="0"/>
        <v>-77266.874999999985</v>
      </c>
      <c r="E9" s="58">
        <f t="shared" si="0"/>
        <v>-78425.878124999974</v>
      </c>
      <c r="F9" s="58">
        <f t="shared" si="0"/>
        <v>-79602.26629687495</v>
      </c>
      <c r="G9" s="58">
        <f t="shared" si="0"/>
        <v>-80796.300291328065</v>
      </c>
      <c r="H9" s="58">
        <f t="shared" si="0"/>
        <v>-82008.244795697974</v>
      </c>
      <c r="I9" s="58">
        <f t="shared" si="0"/>
        <v>-83238.368467633438</v>
      </c>
      <c r="J9" s="58">
        <f t="shared" si="0"/>
        <v>-84486.943994647925</v>
      </c>
      <c r="K9" s="58">
        <f t="shared" si="0"/>
        <v>-85754.248154567642</v>
      </c>
      <c r="L9" s="58">
        <f t="shared" si="0"/>
        <v>-87040.561876886146</v>
      </c>
      <c r="M9" s="58">
        <f t="shared" si="0"/>
        <v>-88346.170305039428</v>
      </c>
      <c r="N9" s="58">
        <f t="shared" si="0"/>
        <v>-89671.362859614994</v>
      </c>
      <c r="O9" s="58">
        <f t="shared" si="0"/>
        <v>-91016.43330250922</v>
      </c>
      <c r="P9" s="58">
        <f t="shared" si="0"/>
        <v>-92381.679802046827</v>
      </c>
      <c r="Q9" s="58">
        <f t="shared" si="0"/>
        <v>-93767.404999077524</v>
      </c>
      <c r="R9" s="58">
        <f t="shared" si="0"/>
        <v>-95173.916074063673</v>
      </c>
      <c r="S9" s="58">
        <f t="shared" si="0"/>
        <v>-96601.524815174605</v>
      </c>
      <c r="T9" s="58">
        <f t="shared" si="0"/>
        <v>-98050.547687402228</v>
      </c>
      <c r="U9" s="58">
        <f t="shared" si="0"/>
        <v>-99521.30590271324</v>
      </c>
      <c r="V9" s="58">
        <f t="shared" si="0"/>
        <v>-101014.12549125392</v>
      </c>
      <c r="W9" s="58">
        <f t="shared" si="0"/>
        <v>-102529.33737362271</v>
      </c>
      <c r="X9" s="58">
        <f t="shared" si="0"/>
        <v>-104067.27743422703</v>
      </c>
      <c r="Y9" s="58">
        <f t="shared" si="0"/>
        <v>-105628.28659574043</v>
      </c>
      <c r="Z9" s="58">
        <f t="shared" si="0"/>
        <v>-107212.71089467652</v>
      </c>
      <c r="AA9" s="58">
        <f t="shared" si="0"/>
        <v>-108820.90155809667</v>
      </c>
      <c r="AB9" s="21"/>
    </row>
    <row r="10" spans="1:28" s="4" customFormat="1" x14ac:dyDescent="0.2">
      <c r="A10" s="25" t="str">
        <f>Parameters!A17</f>
        <v>Jaarlijkse kosten passieve netwerk</v>
      </c>
      <c r="B10" s="24">
        <v>0</v>
      </c>
      <c r="C10" s="24">
        <f t="shared" ref="C10:AA10" si="1">-kost_laag1*pen_aantal*POWER(1+ABS(kost_laag1_index),SIGN(kost_laag1_index)*C$2)</f>
        <v>-22837.499999999996</v>
      </c>
      <c r="D10" s="58">
        <f t="shared" si="1"/>
        <v>-23180.062499999993</v>
      </c>
      <c r="E10" s="58">
        <f t="shared" si="1"/>
        <v>-23527.763437499991</v>
      </c>
      <c r="F10" s="58">
        <f t="shared" si="1"/>
        <v>-23880.679889062489</v>
      </c>
      <c r="G10" s="58">
        <f t="shared" si="1"/>
        <v>-24238.89008739842</v>
      </c>
      <c r="H10" s="58">
        <f t="shared" si="1"/>
        <v>-24602.473438709392</v>
      </c>
      <c r="I10" s="58">
        <f t="shared" si="1"/>
        <v>-24971.51054029003</v>
      </c>
      <c r="J10" s="58">
        <f t="shared" si="1"/>
        <v>-25346.083198394379</v>
      </c>
      <c r="K10" s="58">
        <f t="shared" si="1"/>
        <v>-25726.274446370291</v>
      </c>
      <c r="L10" s="58">
        <f t="shared" si="1"/>
        <v>-26112.168563065843</v>
      </c>
      <c r="M10" s="58">
        <f t="shared" si="1"/>
        <v>-26503.851091511828</v>
      </c>
      <c r="N10" s="58">
        <f t="shared" si="1"/>
        <v>-26901.408857884497</v>
      </c>
      <c r="O10" s="58">
        <f t="shared" si="1"/>
        <v>-27304.929990752764</v>
      </c>
      <c r="P10" s="58">
        <f t="shared" si="1"/>
        <v>-27714.503940614049</v>
      </c>
      <c r="Q10" s="58">
        <f t="shared" si="1"/>
        <v>-28130.221499723255</v>
      </c>
      <c r="R10" s="58">
        <f t="shared" si="1"/>
        <v>-28552.174822219102</v>
      </c>
      <c r="S10" s="58">
        <f t="shared" si="1"/>
        <v>-28980.457444552383</v>
      </c>
      <c r="T10" s="58">
        <f t="shared" si="1"/>
        <v>-29415.164306220668</v>
      </c>
      <c r="U10" s="58">
        <f t="shared" si="1"/>
        <v>-29856.391770813974</v>
      </c>
      <c r="V10" s="58">
        <f t="shared" si="1"/>
        <v>-30304.237647376176</v>
      </c>
      <c r="W10" s="58">
        <f t="shared" si="1"/>
        <v>-30758.801212086815</v>
      </c>
      <c r="X10" s="58">
        <f t="shared" si="1"/>
        <v>-31220.18323026811</v>
      </c>
      <c r="Y10" s="58">
        <f t="shared" si="1"/>
        <v>-31688.485978722128</v>
      </c>
      <c r="Z10" s="58">
        <f t="shared" si="1"/>
        <v>-32163.813268402955</v>
      </c>
      <c r="AA10" s="58">
        <f t="shared" si="1"/>
        <v>-32646.270467429</v>
      </c>
      <c r="AB10" s="21"/>
    </row>
    <row r="11" spans="1:28" s="56" customFormat="1" x14ac:dyDescent="0.2">
      <c r="A11" s="25" t="s">
        <v>382</v>
      </c>
      <c r="B11" s="58">
        <v>0</v>
      </c>
      <c r="C11" s="58">
        <f t="shared" ref="C11:AA11" si="2">-kost_onv_sch*POWER(1+ABS(kost_onv_sch_index),SIGN(kost_onv_sch_index)*C$2)</f>
        <v>-10149.999999999998</v>
      </c>
      <c r="D11" s="58">
        <f t="shared" si="2"/>
        <v>-10302.249999999996</v>
      </c>
      <c r="E11" s="58">
        <f t="shared" si="2"/>
        <v>-10456.783749999997</v>
      </c>
      <c r="F11" s="58">
        <f t="shared" si="2"/>
        <v>-10613.635506249995</v>
      </c>
      <c r="G11" s="58">
        <f t="shared" si="2"/>
        <v>-10772.840038843742</v>
      </c>
      <c r="H11" s="58">
        <f t="shared" si="2"/>
        <v>-10934.432639426397</v>
      </c>
      <c r="I11" s="58">
        <f t="shared" si="2"/>
        <v>-11098.44912901779</v>
      </c>
      <c r="J11" s="58">
        <f t="shared" si="2"/>
        <v>-11264.925865953057</v>
      </c>
      <c r="K11" s="58">
        <f t="shared" si="2"/>
        <v>-11433.899753942351</v>
      </c>
      <c r="L11" s="58">
        <f t="shared" si="2"/>
        <v>-11605.408250251485</v>
      </c>
      <c r="M11" s="58">
        <f t="shared" si="2"/>
        <v>-11779.489374005256</v>
      </c>
      <c r="N11" s="58">
        <f t="shared" si="2"/>
        <v>-11956.181714615333</v>
      </c>
      <c r="O11" s="58">
        <f t="shared" si="2"/>
        <v>-12135.524440334562</v>
      </c>
      <c r="P11" s="58">
        <f t="shared" si="2"/>
        <v>-12317.557306939578</v>
      </c>
      <c r="Q11" s="58">
        <f t="shared" si="2"/>
        <v>-12502.32066654367</v>
      </c>
      <c r="R11" s="58">
        <f t="shared" si="2"/>
        <v>-12689.855476541823</v>
      </c>
      <c r="S11" s="58">
        <f t="shared" si="2"/>
        <v>-12880.203308689948</v>
      </c>
      <c r="T11" s="58">
        <f t="shared" si="2"/>
        <v>-13073.406358320297</v>
      </c>
      <c r="U11" s="58">
        <f t="shared" si="2"/>
        <v>-13269.5074536951</v>
      </c>
      <c r="V11" s="58">
        <f t="shared" si="2"/>
        <v>-13468.550065500522</v>
      </c>
      <c r="W11" s="58">
        <f t="shared" si="2"/>
        <v>-13670.578316483028</v>
      </c>
      <c r="X11" s="58">
        <f t="shared" si="2"/>
        <v>-13875.636991230271</v>
      </c>
      <c r="Y11" s="58">
        <f t="shared" si="2"/>
        <v>-14083.771546098724</v>
      </c>
      <c r="Z11" s="58">
        <f t="shared" si="2"/>
        <v>-14295.028119290202</v>
      </c>
      <c r="AA11" s="58">
        <f t="shared" si="2"/>
        <v>-14509.453541079556</v>
      </c>
      <c r="AB11" s="57"/>
    </row>
    <row r="12" spans="1:28" s="4" customFormat="1" x14ac:dyDescent="0.2">
      <c r="A12" s="21" t="str">
        <f>Parameters!A14</f>
        <v>Kosten voor proces bij opzetten organisatie</v>
      </c>
      <c r="B12" s="24">
        <f>-kost_proces</f>
        <v>-75000</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1"/>
    </row>
    <row r="13" spans="1:28" s="4" customFormat="1" x14ac:dyDescent="0.2">
      <c r="A13" s="21" t="s">
        <v>132</v>
      </c>
      <c r="B13" s="24">
        <f>anders_op_0</f>
        <v>0</v>
      </c>
      <c r="C13" s="24">
        <f>anders_op_1</f>
        <v>0</v>
      </c>
      <c r="D13" s="24">
        <f>anders_op_2</f>
        <v>0</v>
      </c>
      <c r="E13" s="24">
        <f>anders_op_3</f>
        <v>0</v>
      </c>
      <c r="F13" s="24">
        <f>anders_op_4</f>
        <v>0</v>
      </c>
      <c r="G13" s="24">
        <f>anders_op_5</f>
        <v>0</v>
      </c>
      <c r="H13" s="24">
        <f>anders_op_6</f>
        <v>0</v>
      </c>
      <c r="I13" s="24">
        <f>anders_op_7</f>
        <v>0</v>
      </c>
      <c r="J13" s="24">
        <f>anders_op_8</f>
        <v>0</v>
      </c>
      <c r="K13" s="24">
        <f>anders_op_9</f>
        <v>0</v>
      </c>
      <c r="L13" s="24">
        <f>anders_op_10</f>
        <v>0</v>
      </c>
      <c r="M13" s="24">
        <f>anders_op_11</f>
        <v>0</v>
      </c>
      <c r="N13" s="24">
        <f>anders_op_12</f>
        <v>0</v>
      </c>
      <c r="O13" s="24">
        <f>anders_op_13</f>
        <v>0</v>
      </c>
      <c r="P13" s="24">
        <f>anders_op_14</f>
        <v>0</v>
      </c>
      <c r="Q13" s="24">
        <f>anders_op_15</f>
        <v>0</v>
      </c>
      <c r="R13" s="24">
        <f>anders_op_16</f>
        <v>0</v>
      </c>
      <c r="S13" s="24">
        <f>anders_op_17</f>
        <v>0</v>
      </c>
      <c r="T13" s="24">
        <f>anders_op_18</f>
        <v>0</v>
      </c>
      <c r="U13" s="24">
        <f>anders_op_19</f>
        <v>0</v>
      </c>
      <c r="V13" s="24">
        <f>anders_op_20</f>
        <v>0</v>
      </c>
      <c r="W13" s="24">
        <f>anders_op_21</f>
        <v>0</v>
      </c>
      <c r="X13" s="24">
        <f>anders_op_22</f>
        <v>0</v>
      </c>
      <c r="Y13" s="24">
        <f>anders_op_23</f>
        <v>0</v>
      </c>
      <c r="Z13" s="24">
        <f>anders_op_24</f>
        <v>0</v>
      </c>
      <c r="AA13" s="24">
        <f>anders_op_25</f>
        <v>0</v>
      </c>
      <c r="AB13" s="21"/>
    </row>
    <row r="14" spans="1:28" s="4" customFormat="1" x14ac:dyDescent="0.2">
      <c r="A14" s="21"/>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1"/>
    </row>
    <row r="15" spans="1:28" s="10" customFormat="1" x14ac:dyDescent="0.2">
      <c r="A15" s="7" t="s">
        <v>30</v>
      </c>
      <c r="B15" s="8"/>
      <c r="C15" s="8"/>
      <c r="D15" s="8"/>
      <c r="E15" s="8"/>
      <c r="F15" s="8"/>
      <c r="G15" s="8"/>
      <c r="H15" s="8"/>
      <c r="I15" s="8"/>
      <c r="J15" s="8"/>
      <c r="K15" s="8"/>
      <c r="L15" s="9"/>
      <c r="M15" s="9"/>
      <c r="N15" s="9"/>
      <c r="O15" s="9"/>
      <c r="P15" s="9"/>
      <c r="Q15" s="9"/>
      <c r="R15" s="9"/>
      <c r="S15" s="9"/>
      <c r="T15" s="9"/>
      <c r="U15" s="9"/>
      <c r="V15" s="9"/>
      <c r="W15" s="9"/>
      <c r="X15" s="9"/>
      <c r="Y15" s="9"/>
      <c r="Z15" s="9"/>
      <c r="AA15" s="9"/>
    </row>
    <row r="16" spans="1:28" s="4" customFormat="1" x14ac:dyDescent="0.2">
      <c r="A16" s="21" t="s">
        <v>31</v>
      </c>
      <c r="B16" s="24">
        <f>-pen_aantal*kost_netwerk</f>
        <v>-7500000</v>
      </c>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1"/>
    </row>
    <row r="17" spans="1:28" s="4" customFormat="1" x14ac:dyDescent="0.2">
      <c r="A17" s="21" t="s">
        <v>32</v>
      </c>
      <c r="B17" s="24">
        <f>B16*gen_btw</f>
        <v>-1575000</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1"/>
    </row>
    <row r="18" spans="1:28" s="4" customFormat="1" x14ac:dyDescent="0.2">
      <c r="A18" s="21" t="s">
        <v>33</v>
      </c>
      <c r="B18" s="24">
        <f>-B17</f>
        <v>1575000</v>
      </c>
      <c r="D18" s="24"/>
      <c r="E18" s="24"/>
      <c r="F18" s="24"/>
      <c r="G18" s="24"/>
      <c r="H18" s="24"/>
      <c r="I18" s="24"/>
      <c r="J18" s="24"/>
      <c r="K18" s="24"/>
      <c r="L18" s="24"/>
      <c r="M18" s="24"/>
      <c r="N18" s="24"/>
      <c r="O18" s="24"/>
      <c r="P18" s="24"/>
      <c r="Q18" s="24"/>
      <c r="R18" s="24"/>
      <c r="S18" s="24"/>
      <c r="T18" s="24"/>
      <c r="U18" s="24"/>
      <c r="V18" s="24"/>
      <c r="W18" s="24"/>
      <c r="X18" s="24"/>
      <c r="Y18" s="24"/>
      <c r="Z18" s="24"/>
      <c r="AA18" s="24"/>
      <c r="AB18" s="21"/>
    </row>
    <row r="19" spans="1:28" s="4" customFormat="1" x14ac:dyDescent="0.2">
      <c r="A19" s="21"/>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1"/>
    </row>
    <row r="20" spans="1:28" s="10" customFormat="1" x14ac:dyDescent="0.2">
      <c r="A20" s="7" t="s">
        <v>34</v>
      </c>
      <c r="B20" s="8"/>
      <c r="C20" s="8"/>
      <c r="D20" s="8"/>
      <c r="E20" s="8"/>
      <c r="F20" s="8"/>
      <c r="G20" s="8"/>
      <c r="H20" s="8"/>
      <c r="I20" s="8"/>
      <c r="J20" s="8"/>
      <c r="K20" s="8"/>
      <c r="L20" s="9"/>
      <c r="M20" s="9"/>
      <c r="N20" s="9"/>
      <c r="O20" s="9"/>
      <c r="P20" s="9"/>
      <c r="Q20" s="9"/>
      <c r="R20" s="9"/>
      <c r="S20" s="9"/>
      <c r="T20" s="9"/>
      <c r="U20" s="9"/>
      <c r="V20" s="9"/>
      <c r="W20" s="9"/>
      <c r="X20" s="9"/>
      <c r="Y20" s="9"/>
      <c r="Z20" s="9"/>
      <c r="AA20" s="9"/>
    </row>
    <row r="21" spans="1:28" s="56" customFormat="1" x14ac:dyDescent="0.2">
      <c r="A21" s="57" t="s">
        <v>351</v>
      </c>
      <c r="B21" s="58">
        <f>eigen_vermogen</f>
        <v>0</v>
      </c>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7"/>
    </row>
    <row r="22" spans="1:28" s="56" customFormat="1" x14ac:dyDescent="0.2">
      <c r="A22" s="57" t="s">
        <v>281</v>
      </c>
      <c r="B22" s="58">
        <f>subsidie</f>
        <v>0</v>
      </c>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7"/>
    </row>
    <row r="23" spans="1:28" s="4" customFormat="1" x14ac:dyDescent="0.2">
      <c r="A23" s="21" t="s">
        <v>127</v>
      </c>
      <c r="B23" s="24">
        <f>Financiering!B3</f>
        <v>6750000</v>
      </c>
      <c r="C23" s="24">
        <f>Financiering!C3</f>
        <v>0</v>
      </c>
      <c r="D23" s="24">
        <f>Financiering!D3</f>
        <v>0</v>
      </c>
      <c r="E23" s="24">
        <f>Financiering!E3</f>
        <v>0</v>
      </c>
      <c r="F23" s="24">
        <f>Financiering!F3</f>
        <v>0</v>
      </c>
      <c r="G23" s="24">
        <f>Financiering!G3</f>
        <v>0</v>
      </c>
      <c r="H23" s="24">
        <f>Financiering!H3</f>
        <v>0</v>
      </c>
      <c r="I23" s="24">
        <f>Financiering!I3</f>
        <v>0</v>
      </c>
      <c r="J23" s="24">
        <f>Financiering!J3</f>
        <v>0</v>
      </c>
      <c r="K23" s="24">
        <f>Financiering!K3</f>
        <v>0</v>
      </c>
      <c r="L23" s="24">
        <f>Financiering!L3</f>
        <v>0</v>
      </c>
      <c r="M23" s="24">
        <f>Financiering!M3</f>
        <v>0</v>
      </c>
      <c r="N23" s="24">
        <f>Financiering!N3</f>
        <v>0</v>
      </c>
      <c r="O23" s="24">
        <f>Financiering!O3</f>
        <v>0</v>
      </c>
      <c r="P23" s="24">
        <f>Financiering!P3</f>
        <v>0</v>
      </c>
      <c r="Q23" s="24">
        <f>Financiering!Q3</f>
        <v>0</v>
      </c>
      <c r="R23" s="24">
        <f>Financiering!R3</f>
        <v>0</v>
      </c>
      <c r="S23" s="24">
        <f>Financiering!S3</f>
        <v>0</v>
      </c>
      <c r="T23" s="24">
        <f>Financiering!T3</f>
        <v>0</v>
      </c>
      <c r="U23" s="24">
        <f>Financiering!U3</f>
        <v>0</v>
      </c>
      <c r="V23" s="24">
        <f>Financiering!V3</f>
        <v>0</v>
      </c>
      <c r="W23" s="24">
        <f>Financiering!W3</f>
        <v>0</v>
      </c>
      <c r="X23" s="24">
        <f>Financiering!X3</f>
        <v>0</v>
      </c>
      <c r="Y23" s="24">
        <f>Financiering!Y3</f>
        <v>0</v>
      </c>
      <c r="Z23" s="24">
        <f>Financiering!Z3</f>
        <v>0</v>
      </c>
      <c r="AA23" s="24">
        <f>Financiering!AA3</f>
        <v>0</v>
      </c>
      <c r="AB23" s="21"/>
    </row>
    <row r="24" spans="1:28" s="4" customFormat="1" x14ac:dyDescent="0.2">
      <c r="A24" s="21" t="s">
        <v>91</v>
      </c>
      <c r="B24" s="24">
        <f>Financiering!B6</f>
        <v>0</v>
      </c>
      <c r="C24" s="24">
        <f>Financiering!C6</f>
        <v>-81000</v>
      </c>
      <c r="D24" s="24">
        <f>Financiering!D6</f>
        <v>-81000</v>
      </c>
      <c r="E24" s="24">
        <f>Financiering!E6</f>
        <v>-81000</v>
      </c>
      <c r="F24" s="24">
        <f>Financiering!F6</f>
        <v>-76941.675170854782</v>
      </c>
      <c r="G24" s="24">
        <f>Financiering!G6</f>
        <v>-72834.65044375982</v>
      </c>
      <c r="H24" s="24">
        <f>Financiering!H6</f>
        <v>-68678.341419939723</v>
      </c>
      <c r="I24" s="24">
        <f>Financiering!I6</f>
        <v>-64472.156687833762</v>
      </c>
      <c r="J24" s="24">
        <f>Financiering!J6</f>
        <v>-60215.497738942548</v>
      </c>
      <c r="K24" s="24">
        <f>Financiering!K6</f>
        <v>-55907.758882664639</v>
      </c>
      <c r="L24" s="24">
        <f>Financiering!L6</f>
        <v>-51548.327160111388</v>
      </c>
      <c r="M24" s="24">
        <f>Financiering!M6</f>
        <v>-47136.582256887501</v>
      </c>
      <c r="N24" s="24">
        <f>Financiering!N6</f>
        <v>-42671.896414824929</v>
      </c>
      <c r="O24" s="24">
        <f>Financiering!O6</f>
        <v>-38153.634342657606</v>
      </c>
      <c r="P24" s="24">
        <f>Financiering!P6</f>
        <v>-33581.153125624274</v>
      </c>
      <c r="Q24" s="24">
        <f>Financiering!Q6</f>
        <v>-28953.802133986541</v>
      </c>
      <c r="R24" s="24">
        <f>Financiering!R6</f>
        <v>-24270.922930449156</v>
      </c>
      <c r="S24" s="24">
        <f>Financiering!S6</f>
        <v>-19531.849176469324</v>
      </c>
      <c r="T24" s="24">
        <f>Financiering!T6</f>
        <v>-14735.906537441731</v>
      </c>
      <c r="U24" s="24">
        <f>Financiering!U6</f>
        <v>-9882.4125867458079</v>
      </c>
      <c r="V24" s="24">
        <f>Financiering!V6</f>
        <v>-4970.6767086415339</v>
      </c>
      <c r="W24" s="24">
        <f>Financiering!W6</f>
        <v>-9.0803951025009155E-12</v>
      </c>
      <c r="X24" s="24">
        <f>Financiering!X6</f>
        <v>0</v>
      </c>
      <c r="Y24" s="24">
        <f>Financiering!Y6</f>
        <v>0</v>
      </c>
      <c r="Z24" s="24">
        <f>Financiering!Z6</f>
        <v>0</v>
      </c>
      <c r="AA24" s="24">
        <f>Financiering!AA6</f>
        <v>0</v>
      </c>
      <c r="AB24" s="21"/>
    </row>
    <row r="25" spans="1:28" s="4" customFormat="1" x14ac:dyDescent="0.2">
      <c r="A25" s="21" t="s">
        <v>92</v>
      </c>
      <c r="B25" s="24">
        <f>Financiering!B7</f>
        <v>0</v>
      </c>
      <c r="C25" s="24">
        <f>Financiering!C7</f>
        <v>0</v>
      </c>
      <c r="D25" s="24">
        <f>Financiering!D7</f>
        <v>0</v>
      </c>
      <c r="E25" s="24">
        <f>Financiering!E7</f>
        <v>-338193.73576210195</v>
      </c>
      <c r="F25" s="24">
        <f>Financiering!F7</f>
        <v>-342252.06059124717</v>
      </c>
      <c r="G25" s="24">
        <f>Financiering!G7</f>
        <v>-346359.08531834214</v>
      </c>
      <c r="H25" s="24">
        <f>Financiering!H7</f>
        <v>-350515.39434216224</v>
      </c>
      <c r="I25" s="24">
        <f>Financiering!I7</f>
        <v>-354721.57907426817</v>
      </c>
      <c r="J25" s="24">
        <f>Financiering!J7</f>
        <v>-358978.23802315939</v>
      </c>
      <c r="K25" s="24">
        <f>Financiering!K7</f>
        <v>-363285.97687943734</v>
      </c>
      <c r="L25" s="24">
        <f>Financiering!L7</f>
        <v>-367645.40860199055</v>
      </c>
      <c r="M25" s="24">
        <f>Financiering!M7</f>
        <v>-372057.15350521443</v>
      </c>
      <c r="N25" s="24">
        <f>Financiering!N7</f>
        <v>-376521.83934727701</v>
      </c>
      <c r="O25" s="24">
        <f>Financiering!O7</f>
        <v>-381040.10141944431</v>
      </c>
      <c r="P25" s="24">
        <f>Financiering!P7</f>
        <v>-385612.58263647766</v>
      </c>
      <c r="Q25" s="24">
        <f>Financiering!Q7</f>
        <v>-390239.9336281154</v>
      </c>
      <c r="R25" s="24">
        <f>Financiering!R7</f>
        <v>-394922.81283165282</v>
      </c>
      <c r="S25" s="24">
        <f>Financiering!S7</f>
        <v>-399661.88658563263</v>
      </c>
      <c r="T25" s="24">
        <f>Financiering!T7</f>
        <v>-404457.82922466024</v>
      </c>
      <c r="U25" s="24">
        <f>Financiering!U7</f>
        <v>-409311.32317535614</v>
      </c>
      <c r="V25" s="24">
        <f>Financiering!V7</f>
        <v>-414223.05905346043</v>
      </c>
      <c r="W25" s="24">
        <f>Financiering!W7</f>
        <v>0</v>
      </c>
      <c r="X25" s="24">
        <f>Financiering!X7</f>
        <v>0</v>
      </c>
      <c r="Y25" s="24">
        <f>Financiering!Y7</f>
        <v>0</v>
      </c>
      <c r="Z25" s="24">
        <f>Financiering!Z7</f>
        <v>0</v>
      </c>
      <c r="AA25" s="24">
        <f>Financiering!AA7</f>
        <v>0</v>
      </c>
      <c r="AB25" s="21"/>
    </row>
    <row r="26" spans="1:28" s="4" customFormat="1" x14ac:dyDescent="0.2">
      <c r="A26" s="21" t="s">
        <v>131</v>
      </c>
      <c r="B26" s="24">
        <f>Financiering!B9</f>
        <v>0</v>
      </c>
      <c r="C26" s="24">
        <f>Financiering!C9</f>
        <v>0</v>
      </c>
      <c r="D26" s="24">
        <f>Financiering!D9</f>
        <v>0</v>
      </c>
      <c r="E26" s="24">
        <f>Financiering!E9</f>
        <v>0</v>
      </c>
      <c r="F26" s="24">
        <f>Financiering!F9</f>
        <v>0</v>
      </c>
      <c r="G26" s="24">
        <f>Financiering!G9</f>
        <v>0</v>
      </c>
      <c r="H26" s="24">
        <f>Financiering!H9</f>
        <v>0</v>
      </c>
      <c r="I26" s="24">
        <f>Financiering!I9</f>
        <v>0</v>
      </c>
      <c r="J26" s="24">
        <f>Financiering!J9</f>
        <v>0</v>
      </c>
      <c r="K26" s="24">
        <f>Financiering!K9</f>
        <v>0</v>
      </c>
      <c r="L26" s="24">
        <f>Financiering!L9</f>
        <v>0</v>
      </c>
      <c r="M26" s="24">
        <f>Financiering!M9</f>
        <v>0</v>
      </c>
      <c r="N26" s="24">
        <f>Financiering!N9</f>
        <v>0</v>
      </c>
      <c r="O26" s="24">
        <f>Financiering!O9</f>
        <v>0</v>
      </c>
      <c r="P26" s="24">
        <f>Financiering!P9</f>
        <v>0</v>
      </c>
      <c r="Q26" s="24">
        <f>Financiering!Q9</f>
        <v>0</v>
      </c>
      <c r="R26" s="24">
        <f>Financiering!R9</f>
        <v>0</v>
      </c>
      <c r="S26" s="24">
        <f>Financiering!S9</f>
        <v>0</v>
      </c>
      <c r="T26" s="24">
        <f>Financiering!T9</f>
        <v>0</v>
      </c>
      <c r="U26" s="24">
        <f>Financiering!U9</f>
        <v>0</v>
      </c>
      <c r="V26" s="24">
        <f>Financiering!V9</f>
        <v>0</v>
      </c>
      <c r="W26" s="24">
        <f>Financiering!W9</f>
        <v>0</v>
      </c>
      <c r="X26" s="24">
        <f>Financiering!X9</f>
        <v>0</v>
      </c>
      <c r="Y26" s="24">
        <f>Financiering!Y9</f>
        <v>0</v>
      </c>
      <c r="Z26" s="24">
        <f>Financiering!Z9</f>
        <v>0</v>
      </c>
      <c r="AA26" s="24">
        <f>Financiering!AA9</f>
        <v>0</v>
      </c>
      <c r="AB26" s="21"/>
    </row>
    <row r="27" spans="1:28" s="4" customFormat="1" x14ac:dyDescent="0.2">
      <c r="A27" s="21" t="s">
        <v>95</v>
      </c>
      <c r="B27" s="24">
        <f>Financiering!B12</f>
        <v>0</v>
      </c>
      <c r="C27" s="24">
        <f>Financiering!C12</f>
        <v>0</v>
      </c>
      <c r="D27" s="24">
        <f>Financiering!D12</f>
        <v>0</v>
      </c>
      <c r="E27" s="24">
        <f>Financiering!E12</f>
        <v>0</v>
      </c>
      <c r="F27" s="24">
        <f>Financiering!F12</f>
        <v>0</v>
      </c>
      <c r="G27" s="24">
        <f>Financiering!G12</f>
        <v>0</v>
      </c>
      <c r="H27" s="24">
        <f>Financiering!H12</f>
        <v>0</v>
      </c>
      <c r="I27" s="24">
        <f>Financiering!I12</f>
        <v>0</v>
      </c>
      <c r="J27" s="24">
        <f>Financiering!J12</f>
        <v>0</v>
      </c>
      <c r="K27" s="24">
        <f>Financiering!K12</f>
        <v>0</v>
      </c>
      <c r="L27" s="24">
        <f>Financiering!L12</f>
        <v>0</v>
      </c>
      <c r="M27" s="24">
        <f>Financiering!M12</f>
        <v>0</v>
      </c>
      <c r="N27" s="24">
        <f>Financiering!N12</f>
        <v>0</v>
      </c>
      <c r="O27" s="24">
        <f>Financiering!O12</f>
        <v>0</v>
      </c>
      <c r="P27" s="24">
        <f>Financiering!P12</f>
        <v>0</v>
      </c>
      <c r="Q27" s="24">
        <f>Financiering!Q12</f>
        <v>0</v>
      </c>
      <c r="R27" s="24">
        <f>Financiering!R12</f>
        <v>0</v>
      </c>
      <c r="S27" s="24">
        <f>Financiering!S12</f>
        <v>0</v>
      </c>
      <c r="T27" s="24">
        <f>Financiering!T12</f>
        <v>0</v>
      </c>
      <c r="U27" s="24">
        <f>Financiering!U12</f>
        <v>0</v>
      </c>
      <c r="V27" s="24">
        <f>Financiering!V12</f>
        <v>0</v>
      </c>
      <c r="W27" s="24">
        <f>Financiering!W12</f>
        <v>0</v>
      </c>
      <c r="X27" s="24">
        <f>Financiering!X12</f>
        <v>0</v>
      </c>
      <c r="Y27" s="24">
        <f>Financiering!Y12</f>
        <v>0</v>
      </c>
      <c r="Z27" s="24">
        <f>Financiering!Z12</f>
        <v>0</v>
      </c>
      <c r="AA27" s="24">
        <f>Financiering!AA12</f>
        <v>0</v>
      </c>
      <c r="AB27" s="21"/>
    </row>
    <row r="28" spans="1:28" s="4" customFormat="1" x14ac:dyDescent="0.2">
      <c r="A28" s="21" t="s">
        <v>96</v>
      </c>
      <c r="B28" s="24">
        <f>Financiering!B13</f>
        <v>0</v>
      </c>
      <c r="C28" s="24">
        <f>Financiering!C13</f>
        <v>0</v>
      </c>
      <c r="D28" s="24">
        <f>Financiering!D13</f>
        <v>0</v>
      </c>
      <c r="E28" s="24">
        <f>Financiering!E13</f>
        <v>0</v>
      </c>
      <c r="F28" s="24">
        <f>Financiering!F13</f>
        <v>0</v>
      </c>
      <c r="G28" s="24">
        <f>Financiering!G13</f>
        <v>0</v>
      </c>
      <c r="H28" s="24">
        <f>Financiering!H13</f>
        <v>0</v>
      </c>
      <c r="I28" s="24">
        <f>Financiering!I13</f>
        <v>0</v>
      </c>
      <c r="J28" s="24">
        <f>Financiering!J13</f>
        <v>0</v>
      </c>
      <c r="K28" s="24">
        <f>Financiering!K13</f>
        <v>0</v>
      </c>
      <c r="L28" s="24">
        <f>Financiering!L13</f>
        <v>0</v>
      </c>
      <c r="M28" s="24">
        <f>Financiering!M13</f>
        <v>0</v>
      </c>
      <c r="N28" s="24">
        <f>Financiering!N13</f>
        <v>0</v>
      </c>
      <c r="O28" s="24">
        <f>Financiering!O13</f>
        <v>0</v>
      </c>
      <c r="P28" s="24">
        <f>Financiering!P13</f>
        <v>0</v>
      </c>
      <c r="Q28" s="24">
        <f>Financiering!Q13</f>
        <v>0</v>
      </c>
      <c r="R28" s="24">
        <f>Financiering!R13</f>
        <v>0</v>
      </c>
      <c r="S28" s="24">
        <f>Financiering!S13</f>
        <v>0</v>
      </c>
      <c r="T28" s="24">
        <f>Financiering!T13</f>
        <v>0</v>
      </c>
      <c r="U28" s="24">
        <f>Financiering!U13</f>
        <v>0</v>
      </c>
      <c r="V28" s="24">
        <f>Financiering!V13</f>
        <v>0</v>
      </c>
      <c r="W28" s="24">
        <f>Financiering!W13</f>
        <v>0</v>
      </c>
      <c r="X28" s="24">
        <f>Financiering!X13</f>
        <v>0</v>
      </c>
      <c r="Y28" s="24">
        <f>Financiering!Y13</f>
        <v>0</v>
      </c>
      <c r="Z28" s="24">
        <f>Financiering!Z13</f>
        <v>0</v>
      </c>
      <c r="AA28" s="24">
        <f>Financiering!AA13</f>
        <v>0</v>
      </c>
      <c r="AB28" s="21"/>
    </row>
    <row r="29" spans="1:28" s="4" customFormat="1" x14ac:dyDescent="0.2">
      <c r="A29" s="21" t="s">
        <v>339</v>
      </c>
      <c r="B29" s="24">
        <f>Financiering!B15</f>
        <v>0</v>
      </c>
      <c r="C29" s="24">
        <f>Financiering!C15</f>
        <v>0</v>
      </c>
      <c r="D29" s="24">
        <f>Financiering!D15</f>
        <v>0</v>
      </c>
      <c r="E29" s="24">
        <f>Financiering!E15</f>
        <v>0</v>
      </c>
      <c r="F29" s="24">
        <f>Financiering!F15</f>
        <v>0</v>
      </c>
      <c r="G29" s="24">
        <f>Financiering!G15</f>
        <v>0</v>
      </c>
      <c r="H29" s="24">
        <f>Financiering!H15</f>
        <v>0</v>
      </c>
      <c r="I29" s="24">
        <f>Financiering!I15</f>
        <v>0</v>
      </c>
      <c r="J29" s="24">
        <f>Financiering!J15</f>
        <v>0</v>
      </c>
      <c r="K29" s="24">
        <f>Financiering!K15</f>
        <v>0</v>
      </c>
      <c r="L29" s="24">
        <f>Financiering!L15</f>
        <v>0</v>
      </c>
      <c r="M29" s="24">
        <f>Financiering!M15</f>
        <v>0</v>
      </c>
      <c r="N29" s="24">
        <f>Financiering!N15</f>
        <v>0</v>
      </c>
      <c r="O29" s="24">
        <f>Financiering!O15</f>
        <v>0</v>
      </c>
      <c r="P29" s="24">
        <f>Financiering!P15</f>
        <v>0</v>
      </c>
      <c r="Q29" s="24">
        <f>Financiering!Q15</f>
        <v>0</v>
      </c>
      <c r="R29" s="24">
        <f>Financiering!R15</f>
        <v>0</v>
      </c>
      <c r="S29" s="24">
        <f>Financiering!S15</f>
        <v>0</v>
      </c>
      <c r="T29" s="24">
        <f>Financiering!T15</f>
        <v>0</v>
      </c>
      <c r="U29" s="24">
        <f>Financiering!U15</f>
        <v>0</v>
      </c>
      <c r="V29" s="24">
        <f>Financiering!V15</f>
        <v>0</v>
      </c>
      <c r="W29" s="24">
        <f>Financiering!W15</f>
        <v>0</v>
      </c>
      <c r="X29" s="24">
        <f>Financiering!X15</f>
        <v>0</v>
      </c>
      <c r="Y29" s="24">
        <f>Financiering!Y15</f>
        <v>0</v>
      </c>
      <c r="Z29" s="24">
        <f>Financiering!Z15</f>
        <v>0</v>
      </c>
      <c r="AA29" s="24">
        <f>Financiering!AA15</f>
        <v>0</v>
      </c>
      <c r="AB29" s="21"/>
    </row>
    <row r="30" spans="1:28" s="4" customFormat="1" x14ac:dyDescent="0.2">
      <c r="A30" s="21" t="s">
        <v>340</v>
      </c>
      <c r="B30" s="24">
        <f>Financiering!B18</f>
        <v>0</v>
      </c>
      <c r="C30" s="24">
        <f>Financiering!C18</f>
        <v>0</v>
      </c>
      <c r="D30" s="24">
        <f>Financiering!D18</f>
        <v>0</v>
      </c>
      <c r="E30" s="24">
        <f>Financiering!E18</f>
        <v>0</v>
      </c>
      <c r="F30" s="24">
        <f>Financiering!F18</f>
        <v>0</v>
      </c>
      <c r="G30" s="24">
        <f>Financiering!G18</f>
        <v>0</v>
      </c>
      <c r="H30" s="24">
        <f>Financiering!H18</f>
        <v>0</v>
      </c>
      <c r="I30" s="24">
        <f>Financiering!I18</f>
        <v>0</v>
      </c>
      <c r="J30" s="24">
        <f>Financiering!J18</f>
        <v>0</v>
      </c>
      <c r="K30" s="24">
        <f>Financiering!K18</f>
        <v>0</v>
      </c>
      <c r="L30" s="24">
        <f>Financiering!L18</f>
        <v>0</v>
      </c>
      <c r="M30" s="24">
        <f>Financiering!M18</f>
        <v>0</v>
      </c>
      <c r="N30" s="24">
        <f>Financiering!N18</f>
        <v>0</v>
      </c>
      <c r="O30" s="24">
        <f>Financiering!O18</f>
        <v>0</v>
      </c>
      <c r="P30" s="24">
        <f>Financiering!P18</f>
        <v>0</v>
      </c>
      <c r="Q30" s="24">
        <f>Financiering!Q18</f>
        <v>0</v>
      </c>
      <c r="R30" s="24">
        <f>Financiering!R18</f>
        <v>0</v>
      </c>
      <c r="S30" s="24">
        <f>Financiering!S18</f>
        <v>0</v>
      </c>
      <c r="T30" s="24">
        <f>Financiering!T18</f>
        <v>0</v>
      </c>
      <c r="U30" s="24">
        <f>Financiering!U18</f>
        <v>0</v>
      </c>
      <c r="V30" s="24">
        <f>Financiering!V18</f>
        <v>0</v>
      </c>
      <c r="W30" s="24">
        <f>Financiering!W18</f>
        <v>0</v>
      </c>
      <c r="X30" s="24">
        <f>Financiering!X18</f>
        <v>0</v>
      </c>
      <c r="Y30" s="24">
        <f>Financiering!Y18</f>
        <v>0</v>
      </c>
      <c r="Z30" s="24">
        <f>Financiering!Z18</f>
        <v>0</v>
      </c>
      <c r="AA30" s="24">
        <f>Financiering!AA18</f>
        <v>0</v>
      </c>
      <c r="AB30" s="21"/>
    </row>
    <row r="31" spans="1:28" s="4" customFormat="1" x14ac:dyDescent="0.2">
      <c r="A31" s="21" t="s">
        <v>341</v>
      </c>
      <c r="B31" s="24">
        <f>Financiering!B19</f>
        <v>0</v>
      </c>
      <c r="C31" s="24">
        <f>Financiering!C19</f>
        <v>0</v>
      </c>
      <c r="D31" s="24">
        <f>Financiering!D19</f>
        <v>0</v>
      </c>
      <c r="E31" s="24">
        <f>Financiering!E19</f>
        <v>0</v>
      </c>
      <c r="F31" s="24">
        <f>Financiering!F19</f>
        <v>0</v>
      </c>
      <c r="G31" s="24">
        <f>Financiering!G19</f>
        <v>0</v>
      </c>
      <c r="H31" s="24">
        <f>Financiering!H19</f>
        <v>0</v>
      </c>
      <c r="I31" s="24">
        <f>Financiering!I19</f>
        <v>0</v>
      </c>
      <c r="J31" s="24">
        <f>Financiering!J19</f>
        <v>0</v>
      </c>
      <c r="K31" s="24">
        <f>Financiering!K19</f>
        <v>0</v>
      </c>
      <c r="L31" s="24">
        <f>Financiering!L19</f>
        <v>0</v>
      </c>
      <c r="M31" s="24">
        <f>Financiering!M19</f>
        <v>0</v>
      </c>
      <c r="N31" s="24">
        <f>Financiering!N19</f>
        <v>0</v>
      </c>
      <c r="O31" s="24">
        <f>Financiering!O19</f>
        <v>0</v>
      </c>
      <c r="P31" s="24">
        <f>Financiering!P19</f>
        <v>0</v>
      </c>
      <c r="Q31" s="24">
        <f>Financiering!Q19</f>
        <v>0</v>
      </c>
      <c r="R31" s="24">
        <f>Financiering!R19</f>
        <v>0</v>
      </c>
      <c r="S31" s="24">
        <f>Financiering!S19</f>
        <v>0</v>
      </c>
      <c r="T31" s="24">
        <f>Financiering!T19</f>
        <v>0</v>
      </c>
      <c r="U31" s="24">
        <f>Financiering!U19</f>
        <v>0</v>
      </c>
      <c r="V31" s="24">
        <f>Financiering!V19</f>
        <v>0</v>
      </c>
      <c r="W31" s="24">
        <f>Financiering!W19</f>
        <v>0</v>
      </c>
      <c r="X31" s="24">
        <f>Financiering!X19</f>
        <v>0</v>
      </c>
      <c r="Y31" s="24">
        <f>Financiering!Y19</f>
        <v>0</v>
      </c>
      <c r="Z31" s="24">
        <f>Financiering!Z19</f>
        <v>0</v>
      </c>
      <c r="AA31" s="24">
        <f>Financiering!AA19</f>
        <v>0</v>
      </c>
      <c r="AB31" s="21"/>
    </row>
    <row r="32" spans="1:28" s="4" customFormat="1" x14ac:dyDescent="0.2">
      <c r="A32" s="21" t="s">
        <v>129</v>
      </c>
      <c r="B32" s="24">
        <f>Financiering!B21</f>
        <v>0</v>
      </c>
      <c r="C32" s="24">
        <f>Financiering!C21</f>
        <v>0</v>
      </c>
      <c r="D32" s="24">
        <f>Financiering!D21</f>
        <v>0</v>
      </c>
      <c r="E32" s="24">
        <f>Financiering!E21</f>
        <v>0</v>
      </c>
      <c r="F32" s="24">
        <f>Financiering!F21</f>
        <v>0</v>
      </c>
      <c r="G32" s="24">
        <f>Financiering!G21</f>
        <v>0</v>
      </c>
      <c r="H32" s="24">
        <f>Financiering!H21</f>
        <v>0</v>
      </c>
      <c r="I32" s="24">
        <f>Financiering!I21</f>
        <v>0</v>
      </c>
      <c r="J32" s="24">
        <f>Financiering!J21</f>
        <v>0</v>
      </c>
      <c r="K32" s="24">
        <f>Financiering!K21</f>
        <v>0</v>
      </c>
      <c r="L32" s="24">
        <f>Financiering!L21</f>
        <v>0</v>
      </c>
      <c r="M32" s="24">
        <f>Financiering!M21</f>
        <v>0</v>
      </c>
      <c r="N32" s="24">
        <f>Financiering!N21</f>
        <v>0</v>
      </c>
      <c r="O32" s="24">
        <f>Financiering!O21</f>
        <v>0</v>
      </c>
      <c r="P32" s="24">
        <f>Financiering!P21</f>
        <v>0</v>
      </c>
      <c r="Q32" s="24">
        <f>Financiering!Q21</f>
        <v>0</v>
      </c>
      <c r="R32" s="24">
        <f>Financiering!R21</f>
        <v>0</v>
      </c>
      <c r="S32" s="24">
        <f>Financiering!S21</f>
        <v>0</v>
      </c>
      <c r="T32" s="24">
        <f>Financiering!T21</f>
        <v>0</v>
      </c>
      <c r="U32" s="24">
        <f>Financiering!U21</f>
        <v>0</v>
      </c>
      <c r="V32" s="24">
        <f>Financiering!V21</f>
        <v>0</v>
      </c>
      <c r="W32" s="24">
        <f>Financiering!W21</f>
        <v>0</v>
      </c>
      <c r="X32" s="24">
        <f>Financiering!X21</f>
        <v>0</v>
      </c>
      <c r="Y32" s="24">
        <f>Financiering!Y21</f>
        <v>0</v>
      </c>
      <c r="Z32" s="24">
        <f>Financiering!Z21</f>
        <v>0</v>
      </c>
      <c r="AA32" s="24">
        <f>Financiering!AA21</f>
        <v>0</v>
      </c>
      <c r="AB32" s="21"/>
    </row>
    <row r="33" spans="1:28" s="4" customFormat="1" x14ac:dyDescent="0.2">
      <c r="A33" s="21" t="s">
        <v>99</v>
      </c>
      <c r="B33" s="27">
        <f>Financiering!B24</f>
        <v>0</v>
      </c>
      <c r="C33" s="27">
        <f>Financiering!C24</f>
        <v>0</v>
      </c>
      <c r="D33" s="27">
        <f>Financiering!D24</f>
        <v>0</v>
      </c>
      <c r="E33" s="27">
        <f>Financiering!E24</f>
        <v>0</v>
      </c>
      <c r="F33" s="27">
        <f>Financiering!F24</f>
        <v>0</v>
      </c>
      <c r="G33" s="27">
        <f>Financiering!G24</f>
        <v>0</v>
      </c>
      <c r="H33" s="27">
        <f>Financiering!H24</f>
        <v>0</v>
      </c>
      <c r="I33" s="27">
        <f>Financiering!I24</f>
        <v>0</v>
      </c>
      <c r="J33" s="27">
        <f>Financiering!J24</f>
        <v>0</v>
      </c>
      <c r="K33" s="27">
        <f>Financiering!K24</f>
        <v>0</v>
      </c>
      <c r="L33" s="27">
        <f>Financiering!L24</f>
        <v>0</v>
      </c>
      <c r="M33" s="27">
        <f>Financiering!M24</f>
        <v>0</v>
      </c>
      <c r="N33" s="27">
        <f>Financiering!N24</f>
        <v>0</v>
      </c>
      <c r="O33" s="27">
        <f>Financiering!O24</f>
        <v>0</v>
      </c>
      <c r="P33" s="27">
        <f>Financiering!P24</f>
        <v>0</v>
      </c>
      <c r="Q33" s="27">
        <f>Financiering!Q24</f>
        <v>0</v>
      </c>
      <c r="R33" s="27">
        <f>Financiering!R24</f>
        <v>0</v>
      </c>
      <c r="S33" s="27">
        <f>Financiering!S24</f>
        <v>0</v>
      </c>
      <c r="T33" s="27">
        <f>Financiering!T24</f>
        <v>0</v>
      </c>
      <c r="U33" s="27">
        <f>Financiering!U24</f>
        <v>0</v>
      </c>
      <c r="V33" s="27">
        <f>Financiering!V24</f>
        <v>0</v>
      </c>
      <c r="W33" s="27">
        <f>Financiering!W24</f>
        <v>0</v>
      </c>
      <c r="X33" s="27">
        <f>Financiering!X24</f>
        <v>0</v>
      </c>
      <c r="Y33" s="27">
        <f>Financiering!Y24</f>
        <v>0</v>
      </c>
      <c r="Z33" s="27">
        <f>Financiering!Z24</f>
        <v>0</v>
      </c>
      <c r="AA33" s="27">
        <f>Financiering!AA24</f>
        <v>0</v>
      </c>
      <c r="AB33" s="21"/>
    </row>
    <row r="34" spans="1:28" s="4" customFormat="1" x14ac:dyDescent="0.2">
      <c r="A34" s="21" t="s">
        <v>100</v>
      </c>
      <c r="B34" s="27">
        <f>Financiering!B25</f>
        <v>0</v>
      </c>
      <c r="C34" s="27">
        <f>Financiering!C25</f>
        <v>0</v>
      </c>
      <c r="D34" s="27">
        <f>Financiering!D25</f>
        <v>0</v>
      </c>
      <c r="E34" s="27">
        <f>Financiering!E25</f>
        <v>0</v>
      </c>
      <c r="F34" s="27">
        <f>Financiering!F25</f>
        <v>0</v>
      </c>
      <c r="G34" s="27">
        <f>Financiering!G25</f>
        <v>0</v>
      </c>
      <c r="H34" s="27">
        <f>Financiering!H25</f>
        <v>0</v>
      </c>
      <c r="I34" s="27">
        <f>Financiering!I25</f>
        <v>0</v>
      </c>
      <c r="J34" s="27">
        <f>Financiering!J25</f>
        <v>0</v>
      </c>
      <c r="K34" s="27">
        <f>Financiering!K25</f>
        <v>0</v>
      </c>
      <c r="L34" s="27">
        <f>Financiering!L25</f>
        <v>0</v>
      </c>
      <c r="M34" s="27">
        <f>Financiering!M25</f>
        <v>0</v>
      </c>
      <c r="N34" s="27">
        <f>Financiering!N25</f>
        <v>0</v>
      </c>
      <c r="O34" s="27">
        <f>Financiering!O25</f>
        <v>0</v>
      </c>
      <c r="P34" s="27">
        <f>Financiering!P25</f>
        <v>0</v>
      </c>
      <c r="Q34" s="27">
        <f>Financiering!Q25</f>
        <v>0</v>
      </c>
      <c r="R34" s="27">
        <f>Financiering!R25</f>
        <v>0</v>
      </c>
      <c r="S34" s="27">
        <f>Financiering!S25</f>
        <v>0</v>
      </c>
      <c r="T34" s="27">
        <f>Financiering!T25</f>
        <v>0</v>
      </c>
      <c r="U34" s="27">
        <f>Financiering!U25</f>
        <v>0</v>
      </c>
      <c r="V34" s="27">
        <f>Financiering!V25</f>
        <v>0</v>
      </c>
      <c r="W34" s="27">
        <f>Financiering!W25</f>
        <v>0</v>
      </c>
      <c r="X34" s="27">
        <f>Financiering!X25</f>
        <v>0</v>
      </c>
      <c r="Y34" s="27">
        <f>Financiering!Y25</f>
        <v>0</v>
      </c>
      <c r="Z34" s="27">
        <f>Financiering!Z25</f>
        <v>0</v>
      </c>
      <c r="AA34" s="27">
        <f>Financiering!AA25</f>
        <v>0</v>
      </c>
      <c r="AB34" s="21"/>
    </row>
    <row r="35" spans="1:28" s="4" customFormat="1" x14ac:dyDescent="0.2">
      <c r="A35" s="21" t="s">
        <v>130</v>
      </c>
      <c r="B35" s="24">
        <f>Financiering!B27</f>
        <v>0</v>
      </c>
      <c r="C35" s="24">
        <f>Financiering!C27</f>
        <v>0</v>
      </c>
      <c r="D35" s="24">
        <f>Financiering!D27</f>
        <v>0</v>
      </c>
      <c r="E35" s="24">
        <f>Financiering!E27</f>
        <v>0</v>
      </c>
      <c r="F35" s="24">
        <f>Financiering!F27</f>
        <v>0</v>
      </c>
      <c r="G35" s="24">
        <f>Financiering!G27</f>
        <v>0</v>
      </c>
      <c r="H35" s="24">
        <f>Financiering!H27</f>
        <v>0</v>
      </c>
      <c r="I35" s="24">
        <f>Financiering!I27</f>
        <v>0</v>
      </c>
      <c r="J35" s="24">
        <f>Financiering!J27</f>
        <v>0</v>
      </c>
      <c r="K35" s="24">
        <f>Financiering!K27</f>
        <v>0</v>
      </c>
      <c r="L35" s="24">
        <f>Financiering!L27</f>
        <v>0</v>
      </c>
      <c r="M35" s="24">
        <f>Financiering!M27</f>
        <v>0</v>
      </c>
      <c r="N35" s="24">
        <f>Financiering!N27</f>
        <v>0</v>
      </c>
      <c r="O35" s="24">
        <f>Financiering!O27</f>
        <v>0</v>
      </c>
      <c r="P35" s="24">
        <f>Financiering!P27</f>
        <v>0</v>
      </c>
      <c r="Q35" s="24">
        <f>Financiering!Q27</f>
        <v>0</v>
      </c>
      <c r="R35" s="24">
        <f>Financiering!R27</f>
        <v>0</v>
      </c>
      <c r="S35" s="24">
        <f>Financiering!S27</f>
        <v>0</v>
      </c>
      <c r="T35" s="24">
        <f>Financiering!T27</f>
        <v>0</v>
      </c>
      <c r="U35" s="24">
        <f>Financiering!U27</f>
        <v>0</v>
      </c>
      <c r="V35" s="24">
        <f>Financiering!V27</f>
        <v>0</v>
      </c>
      <c r="W35" s="24">
        <f>Financiering!W27</f>
        <v>0</v>
      </c>
      <c r="X35" s="24">
        <f>Financiering!X27</f>
        <v>0</v>
      </c>
      <c r="Y35" s="24">
        <f>Financiering!Y27</f>
        <v>0</v>
      </c>
      <c r="Z35" s="24">
        <f>Financiering!Z27</f>
        <v>0</v>
      </c>
      <c r="AA35" s="24">
        <f>Financiering!AA27</f>
        <v>0</v>
      </c>
      <c r="AB35" s="21"/>
    </row>
    <row r="36" spans="1:28" s="4" customFormat="1" x14ac:dyDescent="0.2">
      <c r="A36" s="21" t="s">
        <v>103</v>
      </c>
      <c r="B36" s="24">
        <f>Financiering!B30</f>
        <v>0</v>
      </c>
      <c r="C36" s="24">
        <f>Financiering!C30</f>
        <v>0</v>
      </c>
      <c r="D36" s="24">
        <f>Financiering!D30</f>
        <v>0</v>
      </c>
      <c r="E36" s="24">
        <f>Financiering!E30</f>
        <v>0</v>
      </c>
      <c r="F36" s="24">
        <f>Financiering!F30</f>
        <v>0</v>
      </c>
      <c r="G36" s="24">
        <f>Financiering!G30</f>
        <v>0</v>
      </c>
      <c r="H36" s="24">
        <f>Financiering!H30</f>
        <v>0</v>
      </c>
      <c r="I36" s="24">
        <f>Financiering!I30</f>
        <v>0</v>
      </c>
      <c r="J36" s="24">
        <f>Financiering!J30</f>
        <v>0</v>
      </c>
      <c r="K36" s="24">
        <f>Financiering!K30</f>
        <v>0</v>
      </c>
      <c r="L36" s="24">
        <f>Financiering!L30</f>
        <v>0</v>
      </c>
      <c r="M36" s="24">
        <f>Financiering!M30</f>
        <v>0</v>
      </c>
      <c r="N36" s="24">
        <f>Financiering!N30</f>
        <v>0</v>
      </c>
      <c r="O36" s="24">
        <f>Financiering!O30</f>
        <v>0</v>
      </c>
      <c r="P36" s="24">
        <f>Financiering!P30</f>
        <v>0</v>
      </c>
      <c r="Q36" s="24">
        <f>Financiering!Q30</f>
        <v>0</v>
      </c>
      <c r="R36" s="24">
        <f>Financiering!R30</f>
        <v>0</v>
      </c>
      <c r="S36" s="24">
        <f>Financiering!S30</f>
        <v>0</v>
      </c>
      <c r="T36" s="24">
        <f>Financiering!T30</f>
        <v>0</v>
      </c>
      <c r="U36" s="24">
        <f>Financiering!U30</f>
        <v>0</v>
      </c>
      <c r="V36" s="24">
        <f>Financiering!V30</f>
        <v>0</v>
      </c>
      <c r="W36" s="24">
        <f>Financiering!W30</f>
        <v>0</v>
      </c>
      <c r="X36" s="24">
        <f>Financiering!X30</f>
        <v>0</v>
      </c>
      <c r="Y36" s="24">
        <f>Financiering!Y30</f>
        <v>0</v>
      </c>
      <c r="Z36" s="24">
        <f>Financiering!Z30</f>
        <v>0</v>
      </c>
      <c r="AA36" s="24">
        <f>Financiering!AA30</f>
        <v>0</v>
      </c>
      <c r="AB36" s="21"/>
    </row>
    <row r="37" spans="1:28" s="4" customFormat="1" x14ac:dyDescent="0.2">
      <c r="A37" s="21" t="s">
        <v>104</v>
      </c>
      <c r="B37" s="24">
        <f>Financiering!B31</f>
        <v>0</v>
      </c>
      <c r="C37" s="24">
        <f>Financiering!C31</f>
        <v>0</v>
      </c>
      <c r="D37" s="24">
        <f>Financiering!D31</f>
        <v>0</v>
      </c>
      <c r="E37" s="24">
        <f>Financiering!E31</f>
        <v>0</v>
      </c>
      <c r="F37" s="24">
        <f>Financiering!F31</f>
        <v>0</v>
      </c>
      <c r="G37" s="24">
        <f>Financiering!G31</f>
        <v>0</v>
      </c>
      <c r="H37" s="24">
        <f>Financiering!H31</f>
        <v>0</v>
      </c>
      <c r="I37" s="24">
        <f>Financiering!I31</f>
        <v>0</v>
      </c>
      <c r="J37" s="24">
        <f>Financiering!J31</f>
        <v>0</v>
      </c>
      <c r="K37" s="24">
        <f>Financiering!K31</f>
        <v>0</v>
      </c>
      <c r="L37" s="24">
        <f>Financiering!L31</f>
        <v>0</v>
      </c>
      <c r="M37" s="24">
        <f>Financiering!M31</f>
        <v>0</v>
      </c>
      <c r="N37" s="24">
        <f>Financiering!N31</f>
        <v>0</v>
      </c>
      <c r="O37" s="24">
        <f>Financiering!O31</f>
        <v>0</v>
      </c>
      <c r="P37" s="24">
        <f>Financiering!P31</f>
        <v>0</v>
      </c>
      <c r="Q37" s="24">
        <f>Financiering!Q31</f>
        <v>0</v>
      </c>
      <c r="R37" s="24">
        <f>Financiering!R31</f>
        <v>0</v>
      </c>
      <c r="S37" s="24">
        <f>Financiering!S31</f>
        <v>0</v>
      </c>
      <c r="T37" s="24">
        <f>Financiering!T31</f>
        <v>0</v>
      </c>
      <c r="U37" s="24">
        <f>Financiering!U31</f>
        <v>0</v>
      </c>
      <c r="V37" s="24">
        <f>Financiering!V31</f>
        <v>0</v>
      </c>
      <c r="W37" s="24">
        <f>Financiering!W31</f>
        <v>0</v>
      </c>
      <c r="X37" s="24">
        <f>Financiering!X31</f>
        <v>0</v>
      </c>
      <c r="Y37" s="24">
        <f>Financiering!Y31</f>
        <v>0</v>
      </c>
      <c r="Z37" s="24">
        <f>Financiering!Z31</f>
        <v>0</v>
      </c>
      <c r="AA37" s="24">
        <f>Financiering!AA31</f>
        <v>0</v>
      </c>
      <c r="AB37" s="21"/>
    </row>
    <row r="38" spans="1:28" s="4" customFormat="1" x14ac:dyDescent="0.2">
      <c r="A38" s="21" t="s">
        <v>342</v>
      </c>
      <c r="B38" s="24">
        <f>Financiering!B33</f>
        <v>0</v>
      </c>
      <c r="C38" s="24">
        <f>Financiering!C33</f>
        <v>0</v>
      </c>
      <c r="D38" s="24">
        <f>Financiering!D33</f>
        <v>0</v>
      </c>
      <c r="E38" s="24">
        <f>Financiering!E33</f>
        <v>0</v>
      </c>
      <c r="F38" s="24">
        <f>Financiering!F33</f>
        <v>0</v>
      </c>
      <c r="G38" s="24">
        <f>Financiering!G33</f>
        <v>0</v>
      </c>
      <c r="H38" s="24">
        <f>Financiering!H33</f>
        <v>0</v>
      </c>
      <c r="I38" s="24">
        <f>Financiering!I33</f>
        <v>0</v>
      </c>
      <c r="J38" s="24">
        <f>Financiering!J33</f>
        <v>0</v>
      </c>
      <c r="K38" s="24">
        <f>Financiering!K33</f>
        <v>0</v>
      </c>
      <c r="L38" s="24">
        <f>Financiering!L33</f>
        <v>0</v>
      </c>
      <c r="M38" s="24">
        <f>Financiering!M33</f>
        <v>0</v>
      </c>
      <c r="N38" s="24">
        <f>Financiering!N33</f>
        <v>0</v>
      </c>
      <c r="O38" s="24">
        <f>Financiering!O33</f>
        <v>0</v>
      </c>
      <c r="P38" s="24">
        <f>Financiering!P33</f>
        <v>0</v>
      </c>
      <c r="Q38" s="24">
        <f>Financiering!Q33</f>
        <v>0</v>
      </c>
      <c r="R38" s="24">
        <f>Financiering!R33</f>
        <v>0</v>
      </c>
      <c r="S38" s="24">
        <f>Financiering!S33</f>
        <v>0</v>
      </c>
      <c r="T38" s="24">
        <f>Financiering!T33</f>
        <v>0</v>
      </c>
      <c r="U38" s="24">
        <f>Financiering!U33</f>
        <v>0</v>
      </c>
      <c r="V38" s="24">
        <f>Financiering!V33</f>
        <v>0</v>
      </c>
      <c r="W38" s="24">
        <f>Financiering!W33</f>
        <v>0</v>
      </c>
      <c r="X38" s="24">
        <f>Financiering!X33</f>
        <v>0</v>
      </c>
      <c r="Y38" s="24">
        <f>Financiering!Y33</f>
        <v>0</v>
      </c>
      <c r="Z38" s="24">
        <f>Financiering!Z33</f>
        <v>0</v>
      </c>
      <c r="AA38" s="24">
        <f>Financiering!AA33</f>
        <v>0</v>
      </c>
      <c r="AB38" s="21"/>
    </row>
    <row r="39" spans="1:28" s="4" customFormat="1" x14ac:dyDescent="0.2">
      <c r="A39" s="21" t="s">
        <v>343</v>
      </c>
      <c r="B39" s="24">
        <f>Financiering!B36</f>
        <v>0</v>
      </c>
      <c r="C39" s="24">
        <f>Financiering!C36</f>
        <v>0</v>
      </c>
      <c r="D39" s="24">
        <f>Financiering!D36</f>
        <v>0</v>
      </c>
      <c r="E39" s="24">
        <f>Financiering!E36</f>
        <v>0</v>
      </c>
      <c r="F39" s="24">
        <f>Financiering!F36</f>
        <v>0</v>
      </c>
      <c r="G39" s="24">
        <f>Financiering!G36</f>
        <v>0</v>
      </c>
      <c r="H39" s="24">
        <f>Financiering!H36</f>
        <v>0</v>
      </c>
      <c r="I39" s="24">
        <f>Financiering!I36</f>
        <v>0</v>
      </c>
      <c r="J39" s="24">
        <f>Financiering!J36</f>
        <v>0</v>
      </c>
      <c r="K39" s="24">
        <f>Financiering!K36</f>
        <v>0</v>
      </c>
      <c r="L39" s="24">
        <f>Financiering!L36</f>
        <v>0</v>
      </c>
      <c r="M39" s="24">
        <f>Financiering!M36</f>
        <v>0</v>
      </c>
      <c r="N39" s="24">
        <f>Financiering!N36</f>
        <v>0</v>
      </c>
      <c r="O39" s="24">
        <f>Financiering!O36</f>
        <v>0</v>
      </c>
      <c r="P39" s="24">
        <f>Financiering!P36</f>
        <v>0</v>
      </c>
      <c r="Q39" s="24">
        <f>Financiering!Q36</f>
        <v>0</v>
      </c>
      <c r="R39" s="24">
        <f>Financiering!R36</f>
        <v>0</v>
      </c>
      <c r="S39" s="24">
        <f>Financiering!S36</f>
        <v>0</v>
      </c>
      <c r="T39" s="24">
        <f>Financiering!T36</f>
        <v>0</v>
      </c>
      <c r="U39" s="24">
        <f>Financiering!U36</f>
        <v>0</v>
      </c>
      <c r="V39" s="24">
        <f>Financiering!V36</f>
        <v>0</v>
      </c>
      <c r="W39" s="24">
        <f>Financiering!W36</f>
        <v>0</v>
      </c>
      <c r="X39" s="24">
        <f>Financiering!X36</f>
        <v>0</v>
      </c>
      <c r="Y39" s="24">
        <f>Financiering!Y36</f>
        <v>0</v>
      </c>
      <c r="Z39" s="24">
        <f>Financiering!Z36</f>
        <v>0</v>
      </c>
      <c r="AA39" s="24">
        <f>Financiering!AA36</f>
        <v>0</v>
      </c>
      <c r="AB39" s="21"/>
    </row>
    <row r="40" spans="1:28" s="4" customFormat="1" x14ac:dyDescent="0.2">
      <c r="A40" s="21" t="s">
        <v>344</v>
      </c>
      <c r="B40" s="24">
        <f>Financiering!B37</f>
        <v>0</v>
      </c>
      <c r="C40" s="24">
        <f>Financiering!C37</f>
        <v>0</v>
      </c>
      <c r="D40" s="24">
        <f>Financiering!D37</f>
        <v>0</v>
      </c>
      <c r="E40" s="24">
        <f>Financiering!E37</f>
        <v>0</v>
      </c>
      <c r="F40" s="24">
        <f>Financiering!F37</f>
        <v>0</v>
      </c>
      <c r="G40" s="24">
        <f>Financiering!G37</f>
        <v>0</v>
      </c>
      <c r="H40" s="24">
        <f>Financiering!H37</f>
        <v>0</v>
      </c>
      <c r="I40" s="24">
        <f>Financiering!I37</f>
        <v>0</v>
      </c>
      <c r="J40" s="24">
        <f>Financiering!J37</f>
        <v>0</v>
      </c>
      <c r="K40" s="24">
        <f>Financiering!K37</f>
        <v>0</v>
      </c>
      <c r="L40" s="24">
        <f>Financiering!L37</f>
        <v>0</v>
      </c>
      <c r="M40" s="24">
        <f>Financiering!M37</f>
        <v>0</v>
      </c>
      <c r="N40" s="24">
        <f>Financiering!N37</f>
        <v>0</v>
      </c>
      <c r="O40" s="24">
        <f>Financiering!O37</f>
        <v>0</v>
      </c>
      <c r="P40" s="24">
        <f>Financiering!P37</f>
        <v>0</v>
      </c>
      <c r="Q40" s="24">
        <f>Financiering!Q37</f>
        <v>0</v>
      </c>
      <c r="R40" s="24">
        <f>Financiering!R37</f>
        <v>0</v>
      </c>
      <c r="S40" s="24">
        <f>Financiering!S37</f>
        <v>0</v>
      </c>
      <c r="T40" s="24">
        <f>Financiering!T37</f>
        <v>0</v>
      </c>
      <c r="U40" s="24">
        <f>Financiering!U37</f>
        <v>0</v>
      </c>
      <c r="V40" s="24">
        <f>Financiering!V37</f>
        <v>0</v>
      </c>
      <c r="W40" s="24">
        <f>Financiering!W37</f>
        <v>0</v>
      </c>
      <c r="X40" s="24">
        <f>Financiering!X37</f>
        <v>0</v>
      </c>
      <c r="Y40" s="24">
        <f>Financiering!Y37</f>
        <v>0</v>
      </c>
      <c r="Z40" s="24">
        <f>Financiering!Z37</f>
        <v>0</v>
      </c>
      <c r="AA40" s="24">
        <f>Financiering!AA37</f>
        <v>0</v>
      </c>
      <c r="AB40" s="21"/>
    </row>
    <row r="41" spans="1:28" s="4" customFormat="1" x14ac:dyDescent="0.2">
      <c r="A41" s="21" t="s">
        <v>51</v>
      </c>
      <c r="B41" s="24">
        <f>-Vennnootschapsbelasting!C12</f>
        <v>0</v>
      </c>
      <c r="C41" s="24">
        <f>-Vennnootschapsbelasting!D12</f>
        <v>0</v>
      </c>
      <c r="D41" s="24">
        <f>-Vennnootschapsbelasting!E12</f>
        <v>0</v>
      </c>
      <c r="E41" s="24">
        <f>-Vennnootschapsbelasting!F12</f>
        <v>-7908.7485364197964</v>
      </c>
      <c r="F41" s="24">
        <f>-Vennnootschapsbelasting!G12</f>
        <v>-11827.135036639282</v>
      </c>
      <c r="G41" s="24">
        <f>-Vennnootschapsbelasting!H12</f>
        <v>-14313.578757146588</v>
      </c>
      <c r="H41" s="24">
        <f>-Vennnootschapsbelasting!I12</f>
        <v>-16755.29995629019</v>
      </c>
      <c r="I41" s="24">
        <f>-Vennnootschapsbelasting!J12</f>
        <v>-19163.48185779537</v>
      </c>
      <c r="J41" s="24">
        <f>-Vennnootschapsbelasting!K12</f>
        <v>-21540.614220309955</v>
      </c>
      <c r="K41" s="24">
        <f>-Vennnootschapsbelasting!L12</f>
        <v>-23889.195999198215</v>
      </c>
      <c r="L41" s="24">
        <f>-Vennnootschapsbelasting!M12</f>
        <v>-26211.758151069036</v>
      </c>
      <c r="M41" s="24">
        <f>-Vennnootschapsbelasting!N12</f>
        <v>-28510.892977206364</v>
      </c>
      <c r="N41" s="24">
        <f>-Vennnootschapsbelasting!O12</f>
        <v>-30789.292860694382</v>
      </c>
      <c r="O41" s="24">
        <f>-Vennnootschapsbelasting!P12</f>
        <v>-33049.802786811197</v>
      </c>
      <c r="P41" s="24">
        <f>-Vennnootschapsbelasting!Q12</f>
        <v>-35295.493594431726</v>
      </c>
      <c r="Q41" s="24">
        <f>-Vennnootschapsbelasting!R12</f>
        <v>-37529.767325075256</v>
      </c>
      <c r="R41" s="24">
        <f>-Vennnootschapsbelasting!S12</f>
        <v>-40311.202619214746</v>
      </c>
      <c r="S41" s="24">
        <f>-Vennnootschapsbelasting!T12</f>
        <v>-43237.169362105953</v>
      </c>
      <c r="T41" s="24">
        <f>-Vennnootschapsbelasting!U12</f>
        <v>-46166.693545754504</v>
      </c>
      <c r="U41" s="24">
        <f>-Vennnootschapsbelasting!V12</f>
        <v>-49109.693986929255</v>
      </c>
      <c r="V41" s="24">
        <f>-Vennnootschapsbelasting!W12</f>
        <v>-52080.068564913148</v>
      </c>
      <c r="W41" s="24">
        <f>-Vennnootschapsbelasting!X12</f>
        <v>-11131.479084380366</v>
      </c>
      <c r="X41" s="24">
        <f>-Vennnootschapsbelasting!Y12</f>
        <v>-11378.162773689546</v>
      </c>
      <c r="Y41" s="24">
        <f>-Vennnootschapsbelasting!Z12</f>
        <v>-11737.246454677716</v>
      </c>
      <c r="Z41" s="24">
        <f>-Vennnootschapsbelasting!AA12</f>
        <v>-12338.00624439101</v>
      </c>
      <c r="AA41" s="24">
        <f>-Vennnootschapsbelasting!AB12</f>
        <v>-13696.526891266778</v>
      </c>
      <c r="AB41" s="21"/>
    </row>
    <row r="42" spans="1:28" s="4" customFormat="1" x14ac:dyDescent="0.2">
      <c r="A42" s="21" t="s">
        <v>271</v>
      </c>
      <c r="B42" s="24">
        <f>Vennnootschapsbelasting!C9</f>
        <v>0</v>
      </c>
      <c r="C42" s="24">
        <f>Vennnootschapsbelasting!D9</f>
        <v>0</v>
      </c>
      <c r="D42" s="24">
        <f>Vennnootschapsbelasting!E9</f>
        <v>0</v>
      </c>
      <c r="E42" s="24">
        <f>Vennnootschapsbelasting!F9</f>
        <v>0</v>
      </c>
      <c r="F42" s="24">
        <f>Vennnootschapsbelasting!G9</f>
        <v>0</v>
      </c>
      <c r="G42" s="24">
        <f>Vennnootschapsbelasting!H9</f>
        <v>0</v>
      </c>
      <c r="H42" s="24">
        <f>Vennnootschapsbelasting!I9</f>
        <v>0</v>
      </c>
      <c r="I42" s="24">
        <f>Vennnootschapsbelasting!J9</f>
        <v>0</v>
      </c>
      <c r="J42" s="24">
        <f>Vennnootschapsbelasting!K9</f>
        <v>0</v>
      </c>
      <c r="K42" s="24">
        <f>Vennnootschapsbelasting!L9</f>
        <v>0</v>
      </c>
      <c r="L42" s="24">
        <f>Vennnootschapsbelasting!M9</f>
        <v>0</v>
      </c>
      <c r="M42" s="24">
        <f>Vennnootschapsbelasting!N9</f>
        <v>0</v>
      </c>
      <c r="N42" s="24">
        <f>Vennnootschapsbelasting!O9</f>
        <v>0</v>
      </c>
      <c r="O42" s="24">
        <f>Vennnootschapsbelasting!P9</f>
        <v>0</v>
      </c>
      <c r="P42" s="24">
        <f>Vennnootschapsbelasting!Q9</f>
        <v>0</v>
      </c>
      <c r="Q42" s="24">
        <f>Vennnootschapsbelasting!R9</f>
        <v>0</v>
      </c>
      <c r="R42" s="24">
        <f>Vennnootschapsbelasting!S9</f>
        <v>0</v>
      </c>
      <c r="S42" s="24">
        <f>Vennnootschapsbelasting!T9</f>
        <v>0</v>
      </c>
      <c r="T42" s="24">
        <f>Vennnootschapsbelasting!U9</f>
        <v>0</v>
      </c>
      <c r="U42" s="24">
        <f>Vennnootschapsbelasting!V9</f>
        <v>0</v>
      </c>
      <c r="V42" s="24">
        <f>Vennnootschapsbelasting!W9</f>
        <v>0</v>
      </c>
      <c r="W42" s="24">
        <f>Vennnootschapsbelasting!X9</f>
        <v>0</v>
      </c>
      <c r="X42" s="24">
        <f>Vennnootschapsbelasting!Y9</f>
        <v>0</v>
      </c>
      <c r="Y42" s="24">
        <f>Vennnootschapsbelasting!Z9</f>
        <v>0</v>
      </c>
      <c r="Z42" s="24">
        <f>Vennnootschapsbelasting!AA9</f>
        <v>0</v>
      </c>
      <c r="AA42" s="24">
        <f>Vennnootschapsbelasting!AB9</f>
        <v>0</v>
      </c>
      <c r="AB42" s="21"/>
    </row>
    <row r="43" spans="1:28" s="4" customFormat="1" x14ac:dyDescent="0.2">
      <c r="A43" s="21" t="s">
        <v>35</v>
      </c>
      <c r="B43" s="27"/>
      <c r="C43" s="27">
        <f>B46*gen_deprente</f>
        <v>259.71074380165339</v>
      </c>
      <c r="D43" s="27">
        <f>C46*gen_deprente</f>
        <v>555.90084710743861</v>
      </c>
      <c r="E43" s="27">
        <f t="shared" ref="E43:AA43" si="3">D46*gen_deprente</f>
        <v>860.38860979338926</v>
      </c>
      <c r="F43" s="27">
        <f t="shared" si="3"/>
        <v>826.82994601495432</v>
      </c>
      <c r="G43" s="27">
        <f t="shared" si="3"/>
        <v>796.83124275041484</v>
      </c>
      <c r="H43" s="27">
        <f t="shared" si="3"/>
        <v>771.59818817534972</v>
      </c>
      <c r="I43" s="27">
        <f t="shared" si="3"/>
        <v>750.95993597342249</v>
      </c>
      <c r="J43" s="27">
        <f t="shared" si="3"/>
        <v>734.74341072000709</v>
      </c>
      <c r="K43" s="27">
        <f t="shared" si="3"/>
        <v>722.78165806139134</v>
      </c>
      <c r="L43" s="27">
        <f t="shared" si="3"/>
        <v>714.91351409050253</v>
      </c>
      <c r="M43" s="27">
        <f t="shared" si="3"/>
        <v>710.98326456590576</v>
      </c>
      <c r="N43" s="27">
        <f t="shared" si="3"/>
        <v>710.84028691633011</v>
      </c>
      <c r="O43" s="27">
        <f t="shared" si="3"/>
        <v>714.33866513132227</v>
      </c>
      <c r="P43" s="27">
        <f t="shared" si="3"/>
        <v>721.33676325852798</v>
      </c>
      <c r="Q43" s="27">
        <f t="shared" si="3"/>
        <v>731.69673628471355</v>
      </c>
      <c r="R43" s="27">
        <f t="shared" si="3"/>
        <v>745.28394580764905</v>
      </c>
      <c r="S43" s="27">
        <f t="shared" si="3"/>
        <v>761.41153994094122</v>
      </c>
      <c r="T43" s="27">
        <f>S46*gen_deprente</f>
        <v>779.80087296756506</v>
      </c>
      <c r="U43" s="27">
        <f t="shared" si="3"/>
        <v>800.32002998258497</v>
      </c>
      <c r="V43" s="27">
        <f t="shared" si="3"/>
        <v>822.83286240608345</v>
      </c>
      <c r="W43" s="27">
        <f t="shared" si="3"/>
        <v>847.19479500410955</v>
      </c>
      <c r="X43" s="27">
        <f t="shared" si="3"/>
        <v>1180.8331471455365</v>
      </c>
      <c r="Y43" s="27">
        <f t="shared" si="3"/>
        <v>1513.8270817732164</v>
      </c>
      <c r="Z43" s="27">
        <f t="shared" si="3"/>
        <v>1845.9565088981926</v>
      </c>
      <c r="AA43" s="27">
        <f t="shared" si="3"/>
        <v>2176.8746910573914</v>
      </c>
      <c r="AB43" s="21"/>
    </row>
    <row r="44" spans="1:28" s="4" customFormat="1" ht="4.5" customHeight="1" x14ac:dyDescent="0.2">
      <c r="A44" s="12"/>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row>
    <row r="45" spans="1:28" s="4" customFormat="1" x14ac:dyDescent="0.2">
      <c r="A45" s="7" t="s">
        <v>36</v>
      </c>
      <c r="B45" s="11">
        <f t="shared" ref="B45:AA45" si="4">SUM(B4:B43)</f>
        <v>259710.74380165339</v>
      </c>
      <c r="C45" s="11">
        <f t="shared" si="4"/>
        <v>296190.10330578516</v>
      </c>
      <c r="D45" s="11">
        <f t="shared" si="4"/>
        <v>304487.76268595061</v>
      </c>
      <c r="E45" s="11">
        <f t="shared" si="4"/>
        <v>-33558.663778435002</v>
      </c>
      <c r="F45" s="11">
        <f t="shared" si="4"/>
        <v>-29998.703264539316</v>
      </c>
      <c r="G45" s="11">
        <f t="shared" si="4"/>
        <v>-25233.054575065176</v>
      </c>
      <c r="H45" s="11">
        <f t="shared" si="4"/>
        <v>-20638.252201927211</v>
      </c>
      <c r="I45" s="11">
        <f t="shared" si="4"/>
        <v>-16216.525253415477</v>
      </c>
      <c r="J45" s="11">
        <f t="shared" si="4"/>
        <v>-11961.752658615731</v>
      </c>
      <c r="K45" s="11">
        <f t="shared" si="4"/>
        <v>-7868.1439708888165</v>
      </c>
      <c r="L45" s="11">
        <f t="shared" si="4"/>
        <v>-3930.2495245967393</v>
      </c>
      <c r="M45" s="11">
        <f t="shared" si="4"/>
        <v>-142.97764957568734</v>
      </c>
      <c r="N45" s="11">
        <f t="shared" si="4"/>
        <v>3498.3782149921726</v>
      </c>
      <c r="O45" s="11">
        <f t="shared" si="4"/>
        <v>6998.098127205757</v>
      </c>
      <c r="P45" s="11">
        <f t="shared" si="4"/>
        <v>10359.9730261855</v>
      </c>
      <c r="Q45" s="11">
        <f t="shared" si="4"/>
        <v>13587.209522935598</v>
      </c>
      <c r="R45" s="11">
        <f t="shared" si="4"/>
        <v>16127.594133292165</v>
      </c>
      <c r="S45" s="11">
        <f t="shared" si="4"/>
        <v>18389.333026623841</v>
      </c>
      <c r="T45" s="11">
        <f t="shared" si="4"/>
        <v>20519.157015019926</v>
      </c>
      <c r="U45" s="11">
        <f t="shared" si="4"/>
        <v>22512.832423498432</v>
      </c>
      <c r="V45" s="11">
        <f t="shared" si="4"/>
        <v>24361.93259802608</v>
      </c>
      <c r="W45" s="11">
        <f t="shared" si="4"/>
        <v>333638.35214142693</v>
      </c>
      <c r="X45" s="11">
        <f t="shared" si="4"/>
        <v>332993.93462767976</v>
      </c>
      <c r="Y45" s="11">
        <f t="shared" si="4"/>
        <v>332129.42712497624</v>
      </c>
      <c r="Z45" s="11">
        <f t="shared" si="4"/>
        <v>330918.18215919891</v>
      </c>
      <c r="AA45" s="11">
        <f t="shared" si="4"/>
        <v>328846.46587942797</v>
      </c>
    </row>
    <row r="46" spans="1:28" s="4" customFormat="1" x14ac:dyDescent="0.2">
      <c r="A46" s="29" t="s">
        <v>37</v>
      </c>
      <c r="B46" s="30">
        <f>B45</f>
        <v>259710.74380165339</v>
      </c>
      <c r="C46" s="30">
        <f>B46+C45</f>
        <v>555900.8471074386</v>
      </c>
      <c r="D46" s="30">
        <f t="shared" ref="D46:V46" si="5">C46+D45</f>
        <v>860388.60979338922</v>
      </c>
      <c r="E46" s="30">
        <f t="shared" si="5"/>
        <v>826829.94601495424</v>
      </c>
      <c r="F46" s="30">
        <f t="shared" si="5"/>
        <v>796831.24275041488</v>
      </c>
      <c r="G46" s="30">
        <f t="shared" si="5"/>
        <v>771598.18817534973</v>
      </c>
      <c r="H46" s="30">
        <f t="shared" si="5"/>
        <v>750959.93597342249</v>
      </c>
      <c r="I46" s="30">
        <f t="shared" si="5"/>
        <v>734743.41072000703</v>
      </c>
      <c r="J46" s="30">
        <f t="shared" si="5"/>
        <v>722781.65806139132</v>
      </c>
      <c r="K46" s="30">
        <f t="shared" si="5"/>
        <v>714913.51409050252</v>
      </c>
      <c r="L46" s="30">
        <f t="shared" si="5"/>
        <v>710983.26456590579</v>
      </c>
      <c r="M46" s="30">
        <f t="shared" si="5"/>
        <v>710840.28691633011</v>
      </c>
      <c r="N46" s="30">
        <f t="shared" si="5"/>
        <v>714338.66513132222</v>
      </c>
      <c r="O46" s="30">
        <f t="shared" si="5"/>
        <v>721336.76325852796</v>
      </c>
      <c r="P46" s="30">
        <f t="shared" si="5"/>
        <v>731696.73628471349</v>
      </c>
      <c r="Q46" s="30">
        <f t="shared" si="5"/>
        <v>745283.94580764906</v>
      </c>
      <c r="R46" s="30">
        <f t="shared" si="5"/>
        <v>761411.53994094126</v>
      </c>
      <c r="S46" s="30">
        <f t="shared" si="5"/>
        <v>779800.87296756508</v>
      </c>
      <c r="T46" s="30">
        <f t="shared" si="5"/>
        <v>800320.02998258499</v>
      </c>
      <c r="U46" s="30">
        <f t="shared" si="5"/>
        <v>822832.86240608338</v>
      </c>
      <c r="V46" s="30">
        <f t="shared" si="5"/>
        <v>847194.7950041095</v>
      </c>
      <c r="W46" s="30">
        <f t="shared" ref="W46" si="6">V46+W45</f>
        <v>1180833.1471455365</v>
      </c>
      <c r="X46" s="30">
        <f t="shared" ref="X46" si="7">W46+X45</f>
        <v>1513827.0817732164</v>
      </c>
      <c r="Y46" s="30">
        <f t="shared" ref="Y46" si="8">X46+Y45</f>
        <v>1845956.5088981926</v>
      </c>
      <c r="Z46" s="30">
        <f t="shared" ref="Z46" si="9">Y46+Z45</f>
        <v>2176874.6910573915</v>
      </c>
      <c r="AA46" s="30">
        <f>Z46+AA45</f>
        <v>2505721.1569368197</v>
      </c>
      <c r="AB46" s="21"/>
    </row>
    <row r="47" spans="1:28" x14ac:dyDescent="0.2">
      <c r="A47" s="20"/>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sheetData>
  <sheetProtection algorithmName="SHA-512" hashValue="fVlRlhCqxrU3orSnC1xy5DmMRVGr1tjKsX+3Yit0SO9nTUh1oMDa2pO0UtEEs6IdHx0Cr1Exk517R8zqfvM7HA==" saltValue="hXKCL9ImYJf2JF0k2h/b8g==" spinCount="100000" sheet="1" objects="1" scenarios="1"/>
  <conditionalFormatting sqref="L14:L15 L20 L3">
    <cfRule type="colorScale" priority="30">
      <colorScale>
        <cfvo type="min"/>
        <cfvo type="percentile" val="50"/>
        <cfvo type="max"/>
        <color rgb="FF63BE7B"/>
        <color rgb="FFFFEB84"/>
        <color rgb="FFF8696B"/>
      </colorScale>
    </cfRule>
  </conditionalFormatting>
  <conditionalFormatting sqref="A20:AA20 A14:AA15 A16:A19 A2:AA3 A4:A13 A21:A45">
    <cfRule type="cellIs" dxfId="5" priority="29" operator="lessThan">
      <formula>0</formula>
    </cfRule>
  </conditionalFormatting>
  <pageMargins left="0.7" right="0.7" top="0.75" bottom="0.75" header="0.3" footer="0.3"/>
  <pageSetup paperSize="63" orientation="landscape"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B55"/>
  <sheetViews>
    <sheetView zoomScale="115" zoomScaleNormal="115" workbookViewId="0">
      <selection activeCell="D17" sqref="D17"/>
    </sheetView>
  </sheetViews>
  <sheetFormatPr defaultColWidth="0" defaultRowHeight="15" zeroHeight="1" x14ac:dyDescent="0.25"/>
  <cols>
    <col min="1" max="1" width="40.42578125" customWidth="1"/>
    <col min="2" max="14" width="13" customWidth="1"/>
    <col min="15" max="27" width="13" bestFit="1" customWidth="1"/>
    <col min="28" max="28" width="2.85546875" customWidth="1"/>
    <col min="29" max="16384" width="9" hidden="1"/>
  </cols>
  <sheetData>
    <row r="1" spans="1:28" s="4" customFormat="1" ht="12" x14ac:dyDescent="0.2">
      <c r="A1" s="22"/>
      <c r="B1" s="23"/>
      <c r="C1" s="23"/>
      <c r="D1" s="23"/>
      <c r="E1" s="23"/>
      <c r="F1" s="23"/>
      <c r="G1" s="23"/>
      <c r="H1" s="23"/>
      <c r="I1" s="23"/>
      <c r="J1" s="23"/>
      <c r="K1" s="23"/>
      <c r="L1" s="23"/>
      <c r="M1" s="23"/>
      <c r="N1" s="23"/>
      <c r="O1" s="23"/>
      <c r="P1" s="23"/>
      <c r="Q1" s="23"/>
      <c r="R1" s="23"/>
      <c r="S1" s="23"/>
      <c r="T1" s="23"/>
      <c r="U1" s="23"/>
      <c r="V1" s="23"/>
      <c r="W1" s="23"/>
      <c r="X1" s="23"/>
      <c r="Y1" s="23"/>
      <c r="Z1" s="23"/>
      <c r="AA1" s="23"/>
      <c r="AB1" s="21"/>
    </row>
    <row r="2" spans="1:28" s="4" customFormat="1" ht="12" x14ac:dyDescent="0.2">
      <c r="A2" s="5" t="s">
        <v>28</v>
      </c>
      <c r="B2" s="6">
        <v>0</v>
      </c>
      <c r="C2" s="6">
        <v>1</v>
      </c>
      <c r="D2" s="6">
        <v>2</v>
      </c>
      <c r="E2" s="6">
        <v>3</v>
      </c>
      <c r="F2" s="6">
        <v>4</v>
      </c>
      <c r="G2" s="6">
        <v>5</v>
      </c>
      <c r="H2" s="6">
        <v>6</v>
      </c>
      <c r="I2" s="6">
        <v>7</v>
      </c>
      <c r="J2" s="6">
        <v>8</v>
      </c>
      <c r="K2" s="6">
        <v>9</v>
      </c>
      <c r="L2" s="6">
        <v>10</v>
      </c>
      <c r="M2" s="6">
        <v>11</v>
      </c>
      <c r="N2" s="6">
        <v>12</v>
      </c>
      <c r="O2" s="6">
        <v>13</v>
      </c>
      <c r="P2" s="6">
        <v>14</v>
      </c>
      <c r="Q2" s="6">
        <v>15</v>
      </c>
      <c r="R2" s="6">
        <v>16</v>
      </c>
      <c r="S2" s="6">
        <v>17</v>
      </c>
      <c r="T2" s="6">
        <v>18</v>
      </c>
      <c r="U2" s="6">
        <v>19</v>
      </c>
      <c r="V2" s="6">
        <v>20</v>
      </c>
      <c r="W2" s="6">
        <v>21</v>
      </c>
      <c r="X2" s="6">
        <v>22</v>
      </c>
      <c r="Y2" s="6">
        <v>23</v>
      </c>
      <c r="Z2" s="6">
        <v>24</v>
      </c>
      <c r="AA2" s="6">
        <v>25</v>
      </c>
      <c r="AB2" s="21"/>
    </row>
    <row r="3" spans="1:28" s="10" customFormat="1" ht="12" x14ac:dyDescent="0.2">
      <c r="A3" s="59" t="s">
        <v>46</v>
      </c>
      <c r="B3" s="60"/>
      <c r="C3" s="60"/>
      <c r="D3" s="60"/>
      <c r="E3" s="60"/>
      <c r="F3" s="60"/>
      <c r="G3" s="60"/>
      <c r="H3" s="60"/>
      <c r="I3" s="60"/>
      <c r="J3" s="60"/>
      <c r="K3" s="60"/>
      <c r="L3" s="61"/>
      <c r="M3" s="61"/>
      <c r="N3" s="61"/>
      <c r="O3" s="61"/>
      <c r="P3" s="61"/>
      <c r="Q3" s="61"/>
      <c r="R3" s="61"/>
      <c r="S3" s="61"/>
      <c r="T3" s="61"/>
      <c r="U3" s="61"/>
      <c r="V3" s="61"/>
      <c r="W3" s="61"/>
      <c r="X3" s="61"/>
      <c r="Y3" s="61"/>
      <c r="Z3" s="61"/>
      <c r="AA3" s="61"/>
      <c r="AB3" s="21"/>
    </row>
    <row r="4" spans="1:28" s="4" customFormat="1" ht="12" x14ac:dyDescent="0.2">
      <c r="A4" s="40" t="s">
        <v>47</v>
      </c>
      <c r="B4" s="27">
        <f>kost_netwerk*pen_aantal-subsidie+'Winst-en-verliesrekening'!B15</f>
        <v>7500000</v>
      </c>
      <c r="C4" s="27">
        <f>B4+'Winst-en-verliesrekening'!C15</f>
        <v>7200000</v>
      </c>
      <c r="D4" s="27">
        <f>C4+'Winst-en-verliesrekening'!D15</f>
        <v>6900000</v>
      </c>
      <c r="E4" s="27">
        <f>D4+'Winst-en-verliesrekening'!E15</f>
        <v>6600000</v>
      </c>
      <c r="F4" s="27">
        <f>E4+'Winst-en-verliesrekening'!F15</f>
        <v>6300000</v>
      </c>
      <c r="G4" s="27">
        <f>F4+'Winst-en-verliesrekening'!G15</f>
        <v>6000000</v>
      </c>
      <c r="H4" s="27">
        <f>G4+'Winst-en-verliesrekening'!H15</f>
        <v>5700000</v>
      </c>
      <c r="I4" s="27">
        <f>H4+'Winst-en-verliesrekening'!I15</f>
        <v>5400000</v>
      </c>
      <c r="J4" s="27">
        <f>I4+'Winst-en-verliesrekening'!J15</f>
        <v>5100000</v>
      </c>
      <c r="K4" s="27">
        <f>J4+'Winst-en-verliesrekening'!K15</f>
        <v>4800000</v>
      </c>
      <c r="L4" s="27">
        <f>K4+'Winst-en-verliesrekening'!L15</f>
        <v>4500000</v>
      </c>
      <c r="M4" s="27">
        <f>L4+'Winst-en-verliesrekening'!M15</f>
        <v>4200000</v>
      </c>
      <c r="N4" s="27">
        <f>M4+'Winst-en-verliesrekening'!N15</f>
        <v>3900000</v>
      </c>
      <c r="O4" s="27">
        <f>N4+'Winst-en-verliesrekening'!O15</f>
        <v>3600000</v>
      </c>
      <c r="P4" s="27">
        <f>O4+'Winst-en-verliesrekening'!P15</f>
        <v>3300000</v>
      </c>
      <c r="Q4" s="27">
        <f>P4+'Winst-en-verliesrekening'!Q15</f>
        <v>3000000</v>
      </c>
      <c r="R4" s="27">
        <f>Q4+'Winst-en-verliesrekening'!R15</f>
        <v>2700000</v>
      </c>
      <c r="S4" s="27">
        <f>R4+'Winst-en-verliesrekening'!S15</f>
        <v>2400000</v>
      </c>
      <c r="T4" s="27">
        <f>S4+'Winst-en-verliesrekening'!T15</f>
        <v>2100000</v>
      </c>
      <c r="U4" s="27">
        <f>T4+'Winst-en-verliesrekening'!U15</f>
        <v>1800000</v>
      </c>
      <c r="V4" s="27">
        <f>U4+'Winst-en-verliesrekening'!V15</f>
        <v>1500000</v>
      </c>
      <c r="W4" s="27">
        <f>V4+'Winst-en-verliesrekening'!W15</f>
        <v>1200000</v>
      </c>
      <c r="X4" s="27">
        <f>W4+'Winst-en-verliesrekening'!X15</f>
        <v>900000</v>
      </c>
      <c r="Y4" s="27">
        <f>X4+'Winst-en-verliesrekening'!Y15</f>
        <v>600000</v>
      </c>
      <c r="Z4" s="27">
        <f>Y4+'Winst-en-verliesrekening'!Z15</f>
        <v>300000</v>
      </c>
      <c r="AA4" s="27">
        <f>Z4+'Winst-en-verliesrekening'!AA15</f>
        <v>0</v>
      </c>
      <c r="AB4" s="21"/>
    </row>
    <row r="5" spans="1:28" s="4" customFormat="1" ht="12" x14ac:dyDescent="0.2">
      <c r="A5" s="40" t="s">
        <v>272</v>
      </c>
      <c r="B5" s="27">
        <f>-Vennnootschapsbelasting!C11</f>
        <v>14250</v>
      </c>
      <c r="C5" s="27">
        <f>-Vennnootschapsbelasting!D11</f>
        <v>8791.0291322313988</v>
      </c>
      <c r="D5" s="27">
        <f>-Vennnootschapsbelasting!E11</f>
        <v>1384.5319078512312</v>
      </c>
      <c r="E5" s="27">
        <f>-Vennnootschapsbelasting!F11</f>
        <v>0</v>
      </c>
      <c r="F5" s="27">
        <f>-Vennnootschapsbelasting!G11</f>
        <v>0</v>
      </c>
      <c r="G5" s="27">
        <f>-Vennnootschapsbelasting!H11</f>
        <v>0</v>
      </c>
      <c r="H5" s="27">
        <f>-Vennnootschapsbelasting!I11</f>
        <v>0</v>
      </c>
      <c r="I5" s="27">
        <f>-Vennnootschapsbelasting!J11</f>
        <v>0</v>
      </c>
      <c r="J5" s="27">
        <f>-Vennnootschapsbelasting!K11</f>
        <v>0</v>
      </c>
      <c r="K5" s="27">
        <f>-Vennnootschapsbelasting!L11</f>
        <v>0</v>
      </c>
      <c r="L5" s="27">
        <f>-Vennnootschapsbelasting!M11</f>
        <v>0</v>
      </c>
      <c r="M5" s="27">
        <f>-Vennnootschapsbelasting!N11</f>
        <v>0</v>
      </c>
      <c r="N5" s="27">
        <f>-Vennnootschapsbelasting!O11</f>
        <v>0</v>
      </c>
      <c r="O5" s="27">
        <f>-Vennnootschapsbelasting!P11</f>
        <v>0</v>
      </c>
      <c r="P5" s="27">
        <f>-Vennnootschapsbelasting!Q11</f>
        <v>0</v>
      </c>
      <c r="Q5" s="27">
        <f>-Vennnootschapsbelasting!R11</f>
        <v>0</v>
      </c>
      <c r="R5" s="27">
        <f>-Vennnootschapsbelasting!S11</f>
        <v>0</v>
      </c>
      <c r="S5" s="27">
        <f>-Vennnootschapsbelasting!T11</f>
        <v>0</v>
      </c>
      <c r="T5" s="27">
        <f>-Vennnootschapsbelasting!U11</f>
        <v>0</v>
      </c>
      <c r="U5" s="27">
        <f>-Vennnootschapsbelasting!V11</f>
        <v>0</v>
      </c>
      <c r="V5" s="27">
        <f>-Vennnootschapsbelasting!W11</f>
        <v>0</v>
      </c>
      <c r="W5" s="27">
        <f>-Vennnootschapsbelasting!X11</f>
        <v>0</v>
      </c>
      <c r="X5" s="27">
        <f>-Vennnootschapsbelasting!Y11</f>
        <v>0</v>
      </c>
      <c r="Y5" s="27">
        <f>-Vennnootschapsbelasting!Z11</f>
        <v>0</v>
      </c>
      <c r="Z5" s="27">
        <f>-Vennnootschapsbelasting!AA11</f>
        <v>0</v>
      </c>
      <c r="AA5" s="27">
        <f>-Vennnootschapsbelasting!AB11</f>
        <v>0</v>
      </c>
      <c r="AB5" s="21"/>
    </row>
    <row r="6" spans="1:28" s="4" customFormat="1" ht="12" x14ac:dyDescent="0.2">
      <c r="A6" s="40" t="s">
        <v>247</v>
      </c>
      <c r="B6" s="27">
        <f>Kasstromenoverzicht!B46</f>
        <v>259710.74380165339</v>
      </c>
      <c r="C6" s="27">
        <f>Kasstromenoverzicht!C46</f>
        <v>555900.8471074386</v>
      </c>
      <c r="D6" s="27">
        <f>Kasstromenoverzicht!D46</f>
        <v>860388.60979338922</v>
      </c>
      <c r="E6" s="27">
        <f>Kasstromenoverzicht!E46</f>
        <v>826829.94601495424</v>
      </c>
      <c r="F6" s="27">
        <f>Kasstromenoverzicht!F46</f>
        <v>796831.24275041488</v>
      </c>
      <c r="G6" s="27">
        <f>Kasstromenoverzicht!G46</f>
        <v>771598.18817534973</v>
      </c>
      <c r="H6" s="27">
        <f>Kasstromenoverzicht!H46</f>
        <v>750959.93597342249</v>
      </c>
      <c r="I6" s="27">
        <f>Kasstromenoverzicht!I46</f>
        <v>734743.41072000703</v>
      </c>
      <c r="J6" s="27">
        <f>Kasstromenoverzicht!J46</f>
        <v>722781.65806139132</v>
      </c>
      <c r="K6" s="27">
        <f>Kasstromenoverzicht!K46</f>
        <v>714913.51409050252</v>
      </c>
      <c r="L6" s="27">
        <f>Kasstromenoverzicht!L46</f>
        <v>710983.26456590579</v>
      </c>
      <c r="M6" s="27">
        <f>Kasstromenoverzicht!M46</f>
        <v>710840.28691633011</v>
      </c>
      <c r="N6" s="27">
        <f>Kasstromenoverzicht!N46</f>
        <v>714338.66513132222</v>
      </c>
      <c r="O6" s="27">
        <f>Kasstromenoverzicht!O46</f>
        <v>721336.76325852796</v>
      </c>
      <c r="P6" s="27">
        <f>Kasstromenoverzicht!P46</f>
        <v>731696.73628471349</v>
      </c>
      <c r="Q6" s="27">
        <f>Kasstromenoverzicht!Q46</f>
        <v>745283.94580764906</v>
      </c>
      <c r="R6" s="27">
        <f>Kasstromenoverzicht!R46</f>
        <v>761411.53994094126</v>
      </c>
      <c r="S6" s="27">
        <f>Kasstromenoverzicht!S46</f>
        <v>779800.87296756508</v>
      </c>
      <c r="T6" s="27">
        <f>Kasstromenoverzicht!T46</f>
        <v>800320.02998258499</v>
      </c>
      <c r="U6" s="27">
        <f>Kasstromenoverzicht!U46</f>
        <v>822832.86240608338</v>
      </c>
      <c r="V6" s="27">
        <f>Kasstromenoverzicht!V46</f>
        <v>847194.7950041095</v>
      </c>
      <c r="W6" s="27">
        <f>Kasstromenoverzicht!W46</f>
        <v>1180833.1471455365</v>
      </c>
      <c r="X6" s="27">
        <f>Kasstromenoverzicht!X46</f>
        <v>1513827.0817732164</v>
      </c>
      <c r="Y6" s="27">
        <f>Kasstromenoverzicht!Y46</f>
        <v>1845956.5088981926</v>
      </c>
      <c r="Z6" s="27">
        <f>Kasstromenoverzicht!Z46</f>
        <v>2176874.6910573915</v>
      </c>
      <c r="AA6" s="27">
        <f>Kasstromenoverzicht!AA46</f>
        <v>2505721.1569368197</v>
      </c>
      <c r="AB6" s="21"/>
    </row>
    <row r="7" spans="1:28" s="4" customFormat="1" ht="12.75" thickBot="1" x14ac:dyDescent="0.25">
      <c r="A7" s="31" t="s">
        <v>49</v>
      </c>
      <c r="B7" s="32">
        <f t="shared" ref="B7:AA7" si="0">SUM(B4:B6)</f>
        <v>7773960.7438016534</v>
      </c>
      <c r="C7" s="32">
        <f t="shared" si="0"/>
        <v>7764691.8762396695</v>
      </c>
      <c r="D7" s="32">
        <f t="shared" si="0"/>
        <v>7761773.1417012401</v>
      </c>
      <c r="E7" s="32">
        <f t="shared" si="0"/>
        <v>7426829.9460149538</v>
      </c>
      <c r="F7" s="32">
        <f t="shared" si="0"/>
        <v>7096831.2427504146</v>
      </c>
      <c r="G7" s="32">
        <f t="shared" si="0"/>
        <v>6771598.1881753495</v>
      </c>
      <c r="H7" s="32">
        <f t="shared" si="0"/>
        <v>6450959.9359734226</v>
      </c>
      <c r="I7" s="32">
        <f>SUM(I4:I6)</f>
        <v>6134743.4107200075</v>
      </c>
      <c r="J7" s="32">
        <f t="shared" si="0"/>
        <v>5822781.6580613917</v>
      </c>
      <c r="K7" s="32">
        <f t="shared" si="0"/>
        <v>5514913.5140905026</v>
      </c>
      <c r="L7" s="32">
        <f t="shared" si="0"/>
        <v>5210983.2645659056</v>
      </c>
      <c r="M7" s="32">
        <f t="shared" si="0"/>
        <v>4910840.2869163305</v>
      </c>
      <c r="N7" s="32">
        <f t="shared" si="0"/>
        <v>4614338.6651313221</v>
      </c>
      <c r="O7" s="32">
        <f t="shared" si="0"/>
        <v>4321336.763258528</v>
      </c>
      <c r="P7" s="32">
        <f>SUM(P4:P6)</f>
        <v>4031696.7362847133</v>
      </c>
      <c r="Q7" s="32">
        <f t="shared" si="0"/>
        <v>3745283.9458076488</v>
      </c>
      <c r="R7" s="32">
        <f t="shared" si="0"/>
        <v>3461411.5399409411</v>
      </c>
      <c r="S7" s="32">
        <f t="shared" si="0"/>
        <v>3179800.872967565</v>
      </c>
      <c r="T7" s="32">
        <f t="shared" si="0"/>
        <v>2900320.029982585</v>
      </c>
      <c r="U7" s="32">
        <f t="shared" si="0"/>
        <v>2622832.8624060834</v>
      </c>
      <c r="V7" s="32">
        <f t="shared" si="0"/>
        <v>2347194.7950041094</v>
      </c>
      <c r="W7" s="32">
        <f t="shared" si="0"/>
        <v>2380833.1471455367</v>
      </c>
      <c r="X7" s="32">
        <f t="shared" si="0"/>
        <v>2413827.0817732164</v>
      </c>
      <c r="Y7" s="32">
        <f t="shared" si="0"/>
        <v>2445956.5088981926</v>
      </c>
      <c r="Z7" s="32">
        <f t="shared" si="0"/>
        <v>2476874.6910573915</v>
      </c>
      <c r="AA7" s="32">
        <f t="shared" si="0"/>
        <v>2505721.1569368197</v>
      </c>
      <c r="AB7" s="21"/>
    </row>
    <row r="8" spans="1:28" s="4" customFormat="1" ht="12" x14ac:dyDescent="0.2">
      <c r="A8" s="40"/>
      <c r="B8" s="27"/>
      <c r="C8" s="27"/>
      <c r="D8" s="27"/>
      <c r="E8" s="27"/>
      <c r="F8" s="27"/>
      <c r="G8" s="27"/>
      <c r="H8" s="27"/>
      <c r="I8" s="27"/>
      <c r="J8" s="27"/>
      <c r="K8" s="27"/>
      <c r="L8" s="27"/>
      <c r="M8" s="27"/>
      <c r="N8" s="27"/>
      <c r="O8" s="27"/>
      <c r="P8" s="27"/>
      <c r="Q8" s="27"/>
      <c r="R8" s="27"/>
      <c r="S8" s="27"/>
      <c r="T8" s="27"/>
      <c r="U8" s="27"/>
      <c r="V8" s="27"/>
      <c r="W8" s="27"/>
      <c r="X8" s="27"/>
      <c r="Y8" s="27"/>
      <c r="Z8" s="27"/>
      <c r="AA8" s="27"/>
      <c r="AB8" s="21"/>
    </row>
    <row r="9" spans="1:28" s="10" customFormat="1" ht="13.5" customHeight="1" x14ac:dyDescent="0.2">
      <c r="A9" s="59" t="s">
        <v>48</v>
      </c>
      <c r="B9" s="60"/>
      <c r="C9" s="60"/>
      <c r="D9" s="60"/>
      <c r="E9" s="60"/>
      <c r="F9" s="60"/>
      <c r="G9" s="60"/>
      <c r="H9" s="60"/>
      <c r="I9" s="60"/>
      <c r="J9" s="60"/>
      <c r="K9" s="60"/>
      <c r="L9" s="61"/>
      <c r="M9" s="61"/>
      <c r="N9" s="61"/>
      <c r="O9" s="61"/>
      <c r="P9" s="61"/>
      <c r="Q9" s="61"/>
      <c r="R9" s="61"/>
      <c r="S9" s="61"/>
      <c r="T9" s="61"/>
      <c r="U9" s="61"/>
      <c r="V9" s="61"/>
      <c r="W9" s="61"/>
      <c r="X9" s="61"/>
      <c r="Y9" s="61"/>
      <c r="Z9" s="61"/>
      <c r="AA9" s="61"/>
      <c r="AB9" s="21"/>
    </row>
    <row r="10" spans="1:28" s="10" customFormat="1" ht="11.25" customHeight="1" x14ac:dyDescent="0.2">
      <c r="A10" s="62" t="s">
        <v>273</v>
      </c>
      <c r="B10" s="27">
        <f t="shared" ref="B10:AA10" si="1">SUM(B11:B14)</f>
        <v>-60750</v>
      </c>
      <c r="C10" s="27">
        <f t="shared" si="1"/>
        <v>-37477.545247933856</v>
      </c>
      <c r="D10" s="27">
        <f t="shared" si="1"/>
        <v>-5902.4781334710369</v>
      </c>
      <c r="E10" s="27">
        <f t="shared" si="1"/>
        <v>33716.2437605265</v>
      </c>
      <c r="F10" s="27">
        <f t="shared" si="1"/>
        <v>84137.187864093954</v>
      </c>
      <c r="G10" s="27">
        <f t="shared" si="1"/>
        <v>145158.23414456099</v>
      </c>
      <c r="H10" s="27">
        <f t="shared" si="1"/>
        <v>216588.72343190337</v>
      </c>
      <c r="I10" s="27">
        <f t="shared" si="1"/>
        <v>298285.67240460997</v>
      </c>
      <c r="J10" s="27">
        <f t="shared" si="1"/>
        <v>390116.71197540499</v>
      </c>
      <c r="K10" s="27">
        <f t="shared" si="1"/>
        <v>491960.12649830268</v>
      </c>
      <c r="L10" s="27">
        <f t="shared" si="1"/>
        <v>603704.99019496539</v>
      </c>
      <c r="M10" s="27">
        <f t="shared" si="1"/>
        <v>725251.4286767398</v>
      </c>
      <c r="N10" s="27">
        <f t="shared" si="1"/>
        <v>856511.04560917371</v>
      </c>
      <c r="O10" s="27">
        <f t="shared" si="1"/>
        <v>997407.57327926368</v>
      </c>
      <c r="P10" s="27">
        <f t="shared" si="1"/>
        <v>1147877.8354449989</v>
      </c>
      <c r="Q10" s="27">
        <f t="shared" si="1"/>
        <v>1307873.1593045304</v>
      </c>
      <c r="R10" s="27">
        <f t="shared" si="1"/>
        <v>1476806.7671621745</v>
      </c>
      <c r="S10" s="27">
        <f t="shared" si="1"/>
        <v>1654518.2752484924</v>
      </c>
      <c r="T10" s="27">
        <f t="shared" si="1"/>
        <v>1841018.3558857557</v>
      </c>
      <c r="U10" s="27">
        <f t="shared" si="1"/>
        <v>2036347.4378465437</v>
      </c>
      <c r="V10" s="27">
        <f t="shared" si="1"/>
        <v>2240587.643541283</v>
      </c>
      <c r="W10" s="27">
        <f t="shared" si="1"/>
        <v>2288042.8964799573</v>
      </c>
      <c r="X10" s="27">
        <f t="shared" si="1"/>
        <v>2336549.8009362128</v>
      </c>
      <c r="Y10" s="27">
        <f t="shared" si="1"/>
        <v>2386587.5358219445</v>
      </c>
      <c r="Z10" s="27">
        <f t="shared" si="1"/>
        <v>2439186.4045480327</v>
      </c>
      <c r="AA10" s="27">
        <f t="shared" si="1"/>
        <v>2497576.8612950118</v>
      </c>
      <c r="AB10" s="21"/>
    </row>
    <row r="11" spans="1:28" s="56" customFormat="1" ht="12" hidden="1" x14ac:dyDescent="0.2">
      <c r="A11" s="63" t="s">
        <v>351</v>
      </c>
      <c r="B11" s="64">
        <f>eigen_vermogen</f>
        <v>0</v>
      </c>
      <c r="C11" s="64">
        <f t="shared" ref="C11:AA11" si="2">eigen_vermogen</f>
        <v>0</v>
      </c>
      <c r="D11" s="64">
        <f t="shared" si="2"/>
        <v>0</v>
      </c>
      <c r="E11" s="64">
        <f t="shared" si="2"/>
        <v>0</v>
      </c>
      <c r="F11" s="64">
        <f t="shared" si="2"/>
        <v>0</v>
      </c>
      <c r="G11" s="64">
        <f t="shared" si="2"/>
        <v>0</v>
      </c>
      <c r="H11" s="64">
        <f t="shared" si="2"/>
        <v>0</v>
      </c>
      <c r="I11" s="64">
        <f t="shared" si="2"/>
        <v>0</v>
      </c>
      <c r="J11" s="64">
        <f t="shared" si="2"/>
        <v>0</v>
      </c>
      <c r="K11" s="64">
        <f t="shared" si="2"/>
        <v>0</v>
      </c>
      <c r="L11" s="64">
        <f t="shared" si="2"/>
        <v>0</v>
      </c>
      <c r="M11" s="64">
        <f t="shared" si="2"/>
        <v>0</v>
      </c>
      <c r="N11" s="64">
        <f t="shared" si="2"/>
        <v>0</v>
      </c>
      <c r="O11" s="64">
        <f t="shared" si="2"/>
        <v>0</v>
      </c>
      <c r="P11" s="64">
        <f t="shared" si="2"/>
        <v>0</v>
      </c>
      <c r="Q11" s="64">
        <f t="shared" si="2"/>
        <v>0</v>
      </c>
      <c r="R11" s="64">
        <f t="shared" si="2"/>
        <v>0</v>
      </c>
      <c r="S11" s="64">
        <f t="shared" si="2"/>
        <v>0</v>
      </c>
      <c r="T11" s="64">
        <f t="shared" si="2"/>
        <v>0</v>
      </c>
      <c r="U11" s="64">
        <f t="shared" si="2"/>
        <v>0</v>
      </c>
      <c r="V11" s="64">
        <f t="shared" si="2"/>
        <v>0</v>
      </c>
      <c r="W11" s="64">
        <f t="shared" si="2"/>
        <v>0</v>
      </c>
      <c r="X11" s="64">
        <f t="shared" si="2"/>
        <v>0</v>
      </c>
      <c r="Y11" s="64">
        <f t="shared" si="2"/>
        <v>0</v>
      </c>
      <c r="Z11" s="64">
        <f t="shared" si="2"/>
        <v>0</v>
      </c>
      <c r="AA11" s="64">
        <f t="shared" si="2"/>
        <v>0</v>
      </c>
      <c r="AB11" s="57"/>
    </row>
    <row r="12" spans="1:28" s="4" customFormat="1" ht="12" hidden="1" x14ac:dyDescent="0.2">
      <c r="A12" s="63" t="s">
        <v>276</v>
      </c>
      <c r="B12" s="64">
        <f>'Winst-en-verliesrekening'!B26</f>
        <v>-75000</v>
      </c>
      <c r="C12" s="64">
        <f>'Winst-en-verliesrekening'!C26+B12</f>
        <v>-46268.574380165257</v>
      </c>
      <c r="D12" s="64">
        <f>'Winst-en-verliesrekening'!D26+C12</f>
        <v>-7287.0100413222681</v>
      </c>
      <c r="E12" s="64">
        <f>'Winst-en-verliesrekening'!E26+D12</f>
        <v>41624.992296946293</v>
      </c>
      <c r="F12" s="64">
        <f>'Winst-en-verliesrekening'!F26+E12</f>
        <v>103873.07143715303</v>
      </c>
      <c r="G12" s="64">
        <f>'Winst-en-verliesrekening'!G26+F12</f>
        <v>179207.69647476665</v>
      </c>
      <c r="H12" s="64">
        <f>'Winst-en-verliesrekening'!H26+G12</f>
        <v>267393.48571839923</v>
      </c>
      <c r="I12" s="64">
        <f>'Winst-en-verliesrekening'!I26+H12</f>
        <v>368253.91654890118</v>
      </c>
      <c r="J12" s="64">
        <f>'Winst-en-verliesrekening'!J26+I12</f>
        <v>481625.5703400062</v>
      </c>
      <c r="K12" s="64">
        <f>'Winst-en-verliesrekening'!K26+J12</f>
        <v>607358.18086210208</v>
      </c>
      <c r="L12" s="64">
        <f>'Winst-en-verliesrekening'!L26+K12</f>
        <v>745314.80270983384</v>
      </c>
      <c r="M12" s="64">
        <f>'Winst-en-verliesrekening'!M26+L12</f>
        <v>895372.13416881463</v>
      </c>
      <c r="N12" s="64">
        <f>'Winst-en-verliesrekening'!N26+M12</f>
        <v>1057421.0439619429</v>
      </c>
      <c r="O12" s="64">
        <f>'Winst-en-verliesrekening'!O26+N12</f>
        <v>1231367.374418844</v>
      </c>
      <c r="P12" s="64">
        <f>'Winst-en-verliesrekening'!P26+O12</f>
        <v>1417133.130179011</v>
      </c>
      <c r="Q12" s="64">
        <f>'Winst-en-verliesrekening'!Q26+P12</f>
        <v>1614658.2213636176</v>
      </c>
      <c r="R12" s="64">
        <f>'Winst-en-verliesrekening'!R26+Q12</f>
        <v>1823903.0318404767</v>
      </c>
      <c r="S12" s="64">
        <f>'Winst-en-verliesrekening'!S26+R12</f>
        <v>2044851.7092889005</v>
      </c>
      <c r="T12" s="64">
        <f>'Winst-en-verliesrekening'!T26+S12</f>
        <v>2277518.4834719184</v>
      </c>
      <c r="U12" s="64">
        <f>'Winst-en-verliesrekening'!U26+T12</f>
        <v>2521957.2594196354</v>
      </c>
      <c r="V12" s="64">
        <f>'Winst-en-verliesrekening'!V26+U12</f>
        <v>2778277.5336792879</v>
      </c>
      <c r="W12" s="64">
        <f>'Winst-en-verliesrekening'!W26+V12</f>
        <v>2836864.2657023426</v>
      </c>
      <c r="X12" s="64">
        <f>'Winst-en-verliesrekening'!X26+W12</f>
        <v>2896749.3329322878</v>
      </c>
      <c r="Y12" s="64">
        <f>'Winst-en-verliesrekening'!Y26+X12</f>
        <v>2958524.3142726971</v>
      </c>
      <c r="Z12" s="64">
        <f>'Winst-en-verliesrekening'!Z26+Y12</f>
        <v>3023461.189243176</v>
      </c>
      <c r="AA12" s="64">
        <f>'Winst-en-verliesrekening'!AA26+Z12</f>
        <v>3095548.1728814221</v>
      </c>
      <c r="AB12" s="21"/>
    </row>
    <row r="13" spans="1:28" s="4" customFormat="1" ht="12" hidden="1" x14ac:dyDescent="0.2">
      <c r="A13" s="63" t="s">
        <v>274</v>
      </c>
      <c r="B13" s="64">
        <f>SUM('Winst-en-verliesrekening'!$B$31:'Winst-en-verliesrekening'!B31)</f>
        <v>14250</v>
      </c>
      <c r="C13" s="64">
        <f>SUM('Winst-en-verliesrekening'!$B$31:'Winst-en-verliesrekening'!C31)</f>
        <v>8791.0291322313988</v>
      </c>
      <c r="D13" s="64">
        <f>SUM('Winst-en-verliesrekening'!$B$31:'Winst-en-verliesrekening'!D31)</f>
        <v>1384.5319078512312</v>
      </c>
      <c r="E13" s="64">
        <f>SUM('Winst-en-verliesrekening'!$B$31:'Winst-en-verliesrekening'!E31)</f>
        <v>0</v>
      </c>
      <c r="F13" s="64">
        <f>SUM('Winst-en-verliesrekening'!$B$31:'Winst-en-verliesrekening'!F31)</f>
        <v>0</v>
      </c>
      <c r="G13" s="64">
        <f>SUM('Winst-en-verliesrekening'!$B$31:'Winst-en-verliesrekening'!G31)</f>
        <v>0</v>
      </c>
      <c r="H13" s="64">
        <f>SUM('Winst-en-verliesrekening'!$B$31:'Winst-en-verliesrekening'!H31)</f>
        <v>0</v>
      </c>
      <c r="I13" s="64">
        <f>SUM('Winst-en-verliesrekening'!$B$31:'Winst-en-verliesrekening'!I31)</f>
        <v>0</v>
      </c>
      <c r="J13" s="64">
        <f>SUM('Winst-en-verliesrekening'!$B$31:'Winst-en-verliesrekening'!J31)</f>
        <v>0</v>
      </c>
      <c r="K13" s="64">
        <f>SUM('Winst-en-verliesrekening'!$B$31:'Winst-en-verliesrekening'!K31)</f>
        <v>0</v>
      </c>
      <c r="L13" s="64">
        <f>SUM('Winst-en-verliesrekening'!$B$31:'Winst-en-verliesrekening'!L31)</f>
        <v>0</v>
      </c>
      <c r="M13" s="64">
        <f>SUM('Winst-en-verliesrekening'!$B$31:'Winst-en-verliesrekening'!M31)</f>
        <v>0</v>
      </c>
      <c r="N13" s="64">
        <f>SUM('Winst-en-verliesrekening'!$B$31:'Winst-en-verliesrekening'!N31)</f>
        <v>0</v>
      </c>
      <c r="O13" s="64">
        <f>SUM('Winst-en-verliesrekening'!$B$31:'Winst-en-verliesrekening'!O31)</f>
        <v>0</v>
      </c>
      <c r="P13" s="64">
        <f>SUM('Winst-en-verliesrekening'!$B$31:'Winst-en-verliesrekening'!P31)</f>
        <v>0</v>
      </c>
      <c r="Q13" s="64">
        <f>SUM('Winst-en-verliesrekening'!$B$31:'Winst-en-verliesrekening'!Q31)</f>
        <v>0</v>
      </c>
      <c r="R13" s="64">
        <f>SUM('Winst-en-verliesrekening'!$B$31:'Winst-en-verliesrekening'!R31)</f>
        <v>0</v>
      </c>
      <c r="S13" s="64">
        <f>SUM('Winst-en-verliesrekening'!$B$31:'Winst-en-verliesrekening'!S31)</f>
        <v>0</v>
      </c>
      <c r="T13" s="64">
        <f>SUM('Winst-en-verliesrekening'!$B$31:'Winst-en-verliesrekening'!T31)</f>
        <v>0</v>
      </c>
      <c r="U13" s="64">
        <f>SUM('Winst-en-verliesrekening'!$B$31:'Winst-en-verliesrekening'!U31)</f>
        <v>0</v>
      </c>
      <c r="V13" s="64">
        <f>SUM('Winst-en-verliesrekening'!$B$31:'Winst-en-verliesrekening'!V31)</f>
        <v>0</v>
      </c>
      <c r="W13" s="64">
        <f>SUM('Winst-en-verliesrekening'!$B$31:'Winst-en-verliesrekening'!W31)</f>
        <v>0</v>
      </c>
      <c r="X13" s="64">
        <f>SUM('Winst-en-verliesrekening'!$B$31:'Winst-en-verliesrekening'!X31)</f>
        <v>0</v>
      </c>
      <c r="Y13" s="64">
        <f>SUM('Winst-en-verliesrekening'!$B$31:'Winst-en-verliesrekening'!Y31)</f>
        <v>0</v>
      </c>
      <c r="Z13" s="64">
        <f>SUM('Winst-en-verliesrekening'!$B$31:'Winst-en-verliesrekening'!Z31)</f>
        <v>0</v>
      </c>
      <c r="AA13" s="64">
        <f>SUM('Winst-en-verliesrekening'!$B$31:'Winst-en-verliesrekening'!AA31)</f>
        <v>0</v>
      </c>
      <c r="AB13" s="21"/>
    </row>
    <row r="14" spans="1:28" s="4" customFormat="1" ht="15" hidden="1" customHeight="1" x14ac:dyDescent="0.2">
      <c r="A14" s="63" t="s">
        <v>275</v>
      </c>
      <c r="B14" s="64">
        <f>SUM('Winst-en-verliesrekening'!$B$29:B30)</f>
        <v>0</v>
      </c>
      <c r="C14" s="64">
        <f>SUM('Winst-en-verliesrekening'!$B$29:C30)</f>
        <v>0</v>
      </c>
      <c r="D14" s="64">
        <f>SUM('Winst-en-verliesrekening'!$B$29:D30)</f>
        <v>0</v>
      </c>
      <c r="E14" s="64">
        <f>SUM('Winst-en-verliesrekening'!$B$29:E30)</f>
        <v>-7908.7485364197964</v>
      </c>
      <c r="F14" s="64">
        <f>SUM('Winst-en-verliesrekening'!$B$29:F30)</f>
        <v>-19735.88357305908</v>
      </c>
      <c r="G14" s="64">
        <f>SUM('Winst-en-verliesrekening'!$B$29:G30)</f>
        <v>-34049.462330205672</v>
      </c>
      <c r="H14" s="64">
        <f>SUM('Winst-en-verliesrekening'!$B$29:H30)</f>
        <v>-50804.762286495861</v>
      </c>
      <c r="I14" s="64">
        <f>SUM('Winst-en-verliesrekening'!$B$29:I30)</f>
        <v>-69968.244144291239</v>
      </c>
      <c r="J14" s="64">
        <f>SUM('Winst-en-verliesrekening'!$B$29:J30)</f>
        <v>-91508.858364601198</v>
      </c>
      <c r="K14" s="64">
        <f>SUM('Winst-en-verliesrekening'!$B$29:K30)</f>
        <v>-115398.05436379941</v>
      </c>
      <c r="L14" s="64">
        <f>SUM('Winst-en-verliesrekening'!$B$29:L30)</f>
        <v>-141609.81251486845</v>
      </c>
      <c r="M14" s="64">
        <f>SUM('Winst-en-verliesrekening'!$B$29:M30)</f>
        <v>-170120.70549207481</v>
      </c>
      <c r="N14" s="64">
        <f>SUM('Winst-en-verliesrekening'!$B$29:N30)</f>
        <v>-200909.99835276918</v>
      </c>
      <c r="O14" s="64">
        <f>SUM('Winst-en-verliesrekening'!$B$29:O30)</f>
        <v>-233959.80113958038</v>
      </c>
      <c r="P14" s="64">
        <f>SUM('Winst-en-verliesrekening'!$B$29:P30)</f>
        <v>-269255.2947340121</v>
      </c>
      <c r="Q14" s="64">
        <f>SUM('Winst-en-verliesrekening'!$B$29:Q30)</f>
        <v>-306785.06205908733</v>
      </c>
      <c r="R14" s="64">
        <f>SUM('Winst-en-verliesrekening'!$B$29:R30)</f>
        <v>-347096.2646783021</v>
      </c>
      <c r="S14" s="64">
        <f>SUM('Winst-en-verliesrekening'!$B$29:S30)</f>
        <v>-390333.43404040806</v>
      </c>
      <c r="T14" s="64">
        <f>SUM('Winst-en-verliesrekening'!$B$29:T30)</f>
        <v>-436500.12758616253</v>
      </c>
      <c r="U14" s="64">
        <f>SUM('Winst-en-verliesrekening'!$B$29:U30)</f>
        <v>-485609.82157309179</v>
      </c>
      <c r="V14" s="64">
        <f>SUM('Winst-en-verliesrekening'!$B$29:V30)</f>
        <v>-537689.89013800491</v>
      </c>
      <c r="W14" s="64">
        <f>SUM('Winst-en-verliesrekening'!$B$29:W30)</f>
        <v>-548821.36922238523</v>
      </c>
      <c r="X14" s="64">
        <f>SUM('Winst-en-verliesrekening'!$B$29:X30)</f>
        <v>-560199.53199607483</v>
      </c>
      <c r="Y14" s="64">
        <f>SUM('Winst-en-verliesrekening'!$B$29:Y30)</f>
        <v>-571936.77845075249</v>
      </c>
      <c r="Z14" s="64">
        <f>SUM('Winst-en-verliesrekening'!$B$29:Z30)</f>
        <v>-584274.78469514346</v>
      </c>
      <c r="AA14" s="64">
        <f>SUM('Winst-en-verliesrekening'!$B$29:AA30)</f>
        <v>-597971.31158641027</v>
      </c>
      <c r="AB14" s="21"/>
    </row>
    <row r="15" spans="1:28" s="4" customFormat="1" ht="12" x14ac:dyDescent="0.2">
      <c r="A15" s="62" t="s">
        <v>121</v>
      </c>
      <c r="B15" s="27">
        <f>Financiering!B4</f>
        <v>6750000</v>
      </c>
      <c r="C15" s="27">
        <f>Financiering!C4</f>
        <v>6750000</v>
      </c>
      <c r="D15" s="27">
        <f>Financiering!D4</f>
        <v>6750000</v>
      </c>
      <c r="E15" s="27">
        <f>Financiering!E4</f>
        <v>6411806.2642378984</v>
      </c>
      <c r="F15" s="27">
        <f>Financiering!F4</f>
        <v>6069554.2036466515</v>
      </c>
      <c r="G15" s="27">
        <f>Financiering!G4</f>
        <v>5723195.1183283096</v>
      </c>
      <c r="H15" s="27">
        <f>Financiering!H4</f>
        <v>5372679.723986147</v>
      </c>
      <c r="I15" s="27">
        <f>Financiering!I4</f>
        <v>5017958.1449118787</v>
      </c>
      <c r="J15" s="27">
        <f>Financiering!J4</f>
        <v>4658979.9068887196</v>
      </c>
      <c r="K15" s="27">
        <f>Financiering!K4</f>
        <v>4295693.9300092822</v>
      </c>
      <c r="L15" s="27">
        <f>Financiering!L4</f>
        <v>3928048.5214072918</v>
      </c>
      <c r="M15" s="27">
        <f>Financiering!M4</f>
        <v>3555991.3679020773</v>
      </c>
      <c r="N15" s="27">
        <f>Financiering!N4</f>
        <v>3179469.5285548004</v>
      </c>
      <c r="O15" s="27">
        <f>Financiering!O4</f>
        <v>2798429.4271353562</v>
      </c>
      <c r="P15" s="27">
        <f>Financiering!P4</f>
        <v>2412816.8444988783</v>
      </c>
      <c r="Q15" s="27">
        <f>Financiering!Q4</f>
        <v>2022576.910870763</v>
      </c>
      <c r="R15" s="27">
        <f>Financiering!R4</f>
        <v>1627654.0980391102</v>
      </c>
      <c r="S15" s="27">
        <f>Financiering!S4</f>
        <v>1227992.2114534776</v>
      </c>
      <c r="T15" s="27">
        <f>Financiering!T4</f>
        <v>823534.38222881733</v>
      </c>
      <c r="U15" s="27">
        <f>Financiering!U4</f>
        <v>414223.05905346118</v>
      </c>
      <c r="V15" s="67">
        <f>Financiering!V4</f>
        <v>7.5669959187507629E-10</v>
      </c>
      <c r="W15" s="27">
        <f>Financiering!W4</f>
        <v>0</v>
      </c>
      <c r="X15" s="27">
        <f>Financiering!X4</f>
        <v>0</v>
      </c>
      <c r="Y15" s="27">
        <f>Financiering!Y4</f>
        <v>0</v>
      </c>
      <c r="Z15" s="27">
        <f>Financiering!Z4</f>
        <v>0</v>
      </c>
      <c r="AA15" s="27">
        <f>Financiering!AA4</f>
        <v>0</v>
      </c>
      <c r="AB15" s="21"/>
    </row>
    <row r="16" spans="1:28" s="4" customFormat="1" ht="12" x14ac:dyDescent="0.2">
      <c r="A16" s="62" t="s">
        <v>122</v>
      </c>
      <c r="B16" s="27">
        <f>Financiering!B10</f>
        <v>0</v>
      </c>
      <c r="C16" s="27">
        <f>Financiering!C10</f>
        <v>0</v>
      </c>
      <c r="D16" s="27">
        <f>Financiering!D10</f>
        <v>0</v>
      </c>
      <c r="E16" s="27">
        <f>Financiering!E10</f>
        <v>0</v>
      </c>
      <c r="F16" s="27">
        <f>Financiering!F10</f>
        <v>0</v>
      </c>
      <c r="G16" s="27">
        <f>Financiering!G10</f>
        <v>0</v>
      </c>
      <c r="H16" s="27">
        <f>Financiering!H10</f>
        <v>0</v>
      </c>
      <c r="I16" s="27">
        <f>Financiering!I10</f>
        <v>0</v>
      </c>
      <c r="J16" s="27">
        <f>Financiering!J10</f>
        <v>0</v>
      </c>
      <c r="K16" s="27">
        <f>Financiering!K10</f>
        <v>0</v>
      </c>
      <c r="L16" s="27">
        <f>Financiering!L10</f>
        <v>0</v>
      </c>
      <c r="M16" s="27">
        <f>Financiering!M10</f>
        <v>0</v>
      </c>
      <c r="N16" s="27">
        <f>Financiering!N10</f>
        <v>0</v>
      </c>
      <c r="O16" s="27">
        <f>Financiering!O10</f>
        <v>0</v>
      </c>
      <c r="P16" s="27">
        <f>Financiering!P10</f>
        <v>0</v>
      </c>
      <c r="Q16" s="27">
        <f>Financiering!Q10</f>
        <v>0</v>
      </c>
      <c r="R16" s="27">
        <f>Financiering!R10</f>
        <v>0</v>
      </c>
      <c r="S16" s="27">
        <f>Financiering!S10</f>
        <v>0</v>
      </c>
      <c r="T16" s="27">
        <f>Financiering!T10</f>
        <v>0</v>
      </c>
      <c r="U16" s="27">
        <f>Financiering!U10</f>
        <v>0</v>
      </c>
      <c r="V16" s="27">
        <f>Financiering!V10</f>
        <v>0</v>
      </c>
      <c r="W16" s="27">
        <f>Financiering!W10</f>
        <v>0</v>
      </c>
      <c r="X16" s="27">
        <f>Financiering!X10</f>
        <v>0</v>
      </c>
      <c r="Y16" s="27">
        <f>Financiering!Y10</f>
        <v>0</v>
      </c>
      <c r="Z16" s="27">
        <f>Financiering!Z10</f>
        <v>0</v>
      </c>
      <c r="AA16" s="27">
        <f>Financiering!AA10</f>
        <v>0</v>
      </c>
      <c r="AB16" s="21"/>
    </row>
    <row r="17" spans="1:28" s="4" customFormat="1" ht="12" x14ac:dyDescent="0.2">
      <c r="A17" s="62" t="s">
        <v>123</v>
      </c>
      <c r="B17" s="27">
        <f>Financiering!B16</f>
        <v>0</v>
      </c>
      <c r="C17" s="27">
        <f>Financiering!C16</f>
        <v>0</v>
      </c>
      <c r="D17" s="27">
        <f>Financiering!D16</f>
        <v>0</v>
      </c>
      <c r="E17" s="27">
        <f>Financiering!E16</f>
        <v>0</v>
      </c>
      <c r="F17" s="27">
        <f>Financiering!F16</f>
        <v>0</v>
      </c>
      <c r="G17" s="27">
        <f>Financiering!G16</f>
        <v>0</v>
      </c>
      <c r="H17" s="27">
        <f>Financiering!H16</f>
        <v>0</v>
      </c>
      <c r="I17" s="27">
        <f>Financiering!I16</f>
        <v>0</v>
      </c>
      <c r="J17" s="27">
        <f>Financiering!J16</f>
        <v>0</v>
      </c>
      <c r="K17" s="27">
        <f>Financiering!K16</f>
        <v>0</v>
      </c>
      <c r="L17" s="27">
        <f>Financiering!L16</f>
        <v>0</v>
      </c>
      <c r="M17" s="27">
        <f>Financiering!M16</f>
        <v>0</v>
      </c>
      <c r="N17" s="27">
        <f>Financiering!N16</f>
        <v>0</v>
      </c>
      <c r="O17" s="27">
        <f>Financiering!O16</f>
        <v>0</v>
      </c>
      <c r="P17" s="27">
        <f>Financiering!P16</f>
        <v>0</v>
      </c>
      <c r="Q17" s="27">
        <f>Financiering!Q16</f>
        <v>0</v>
      </c>
      <c r="R17" s="27">
        <f>Financiering!R16</f>
        <v>0</v>
      </c>
      <c r="S17" s="27">
        <f>Financiering!S16</f>
        <v>0</v>
      </c>
      <c r="T17" s="27">
        <f>Financiering!T16</f>
        <v>0</v>
      </c>
      <c r="U17" s="27">
        <f>Financiering!U16</f>
        <v>0</v>
      </c>
      <c r="V17" s="27">
        <f>Financiering!V16</f>
        <v>0</v>
      </c>
      <c r="W17" s="27">
        <f>Financiering!W16</f>
        <v>0</v>
      </c>
      <c r="X17" s="27">
        <f>Financiering!X16</f>
        <v>0</v>
      </c>
      <c r="Y17" s="27">
        <f>Financiering!Y16</f>
        <v>0</v>
      </c>
      <c r="Z17" s="27">
        <f>Financiering!Z16</f>
        <v>0</v>
      </c>
      <c r="AA17" s="27">
        <f>Financiering!AA16</f>
        <v>0</v>
      </c>
      <c r="AB17" s="21"/>
    </row>
    <row r="18" spans="1:28" s="4" customFormat="1" ht="12" x14ac:dyDescent="0.2">
      <c r="A18" s="62" t="s">
        <v>124</v>
      </c>
      <c r="B18" s="27">
        <f>Financiering!B22</f>
        <v>0</v>
      </c>
      <c r="C18" s="27">
        <f>Financiering!C22</f>
        <v>0</v>
      </c>
      <c r="D18" s="27">
        <f>Financiering!D22</f>
        <v>0</v>
      </c>
      <c r="E18" s="27">
        <f>Financiering!E22</f>
        <v>0</v>
      </c>
      <c r="F18" s="27">
        <f>Financiering!F22</f>
        <v>0</v>
      </c>
      <c r="G18" s="27">
        <f>Financiering!G22</f>
        <v>0</v>
      </c>
      <c r="H18" s="27">
        <f>Financiering!H22</f>
        <v>0</v>
      </c>
      <c r="I18" s="27">
        <f>Financiering!I22</f>
        <v>0</v>
      </c>
      <c r="J18" s="27">
        <f>Financiering!J22</f>
        <v>0</v>
      </c>
      <c r="K18" s="27">
        <f>Financiering!K22</f>
        <v>0</v>
      </c>
      <c r="L18" s="27">
        <f>Financiering!L22</f>
        <v>0</v>
      </c>
      <c r="M18" s="27">
        <f>Financiering!M22</f>
        <v>0</v>
      </c>
      <c r="N18" s="27">
        <f>Financiering!N22</f>
        <v>0</v>
      </c>
      <c r="O18" s="27">
        <f>Financiering!O22</f>
        <v>0</v>
      </c>
      <c r="P18" s="27">
        <f>Financiering!P22</f>
        <v>0</v>
      </c>
      <c r="Q18" s="27">
        <f>Financiering!Q22</f>
        <v>0</v>
      </c>
      <c r="R18" s="27">
        <f>Financiering!R22</f>
        <v>0</v>
      </c>
      <c r="S18" s="27">
        <f>Financiering!S22</f>
        <v>0</v>
      </c>
      <c r="T18" s="27">
        <f>Financiering!T22</f>
        <v>0</v>
      </c>
      <c r="U18" s="27">
        <f>Financiering!U22</f>
        <v>0</v>
      </c>
      <c r="V18" s="27">
        <f>Financiering!V22</f>
        <v>0</v>
      </c>
      <c r="W18" s="27">
        <f>Financiering!W22</f>
        <v>0</v>
      </c>
      <c r="X18" s="27">
        <f>Financiering!X22</f>
        <v>0</v>
      </c>
      <c r="Y18" s="27">
        <f>Financiering!Y22</f>
        <v>0</v>
      </c>
      <c r="Z18" s="27">
        <f>Financiering!Z22</f>
        <v>0</v>
      </c>
      <c r="AA18" s="27">
        <f>Financiering!AA22</f>
        <v>0</v>
      </c>
      <c r="AB18" s="21"/>
    </row>
    <row r="19" spans="1:28" s="4" customFormat="1" ht="12" x14ac:dyDescent="0.2">
      <c r="A19" s="62" t="s">
        <v>125</v>
      </c>
      <c r="B19" s="27">
        <f>Financiering!B28</f>
        <v>0</v>
      </c>
      <c r="C19" s="27">
        <f>Financiering!C28</f>
        <v>0</v>
      </c>
      <c r="D19" s="27">
        <f>Financiering!D28</f>
        <v>0</v>
      </c>
      <c r="E19" s="27">
        <f>Financiering!E28</f>
        <v>0</v>
      </c>
      <c r="F19" s="27">
        <f>Financiering!F28</f>
        <v>0</v>
      </c>
      <c r="G19" s="27">
        <f>Financiering!G28</f>
        <v>0</v>
      </c>
      <c r="H19" s="27">
        <f>Financiering!H28</f>
        <v>0</v>
      </c>
      <c r="I19" s="27">
        <f>Financiering!I28</f>
        <v>0</v>
      </c>
      <c r="J19" s="27">
        <f>Financiering!J28</f>
        <v>0</v>
      </c>
      <c r="K19" s="27">
        <f>Financiering!K28</f>
        <v>0</v>
      </c>
      <c r="L19" s="27">
        <f>Financiering!L28</f>
        <v>0</v>
      </c>
      <c r="M19" s="27">
        <f>Financiering!M28</f>
        <v>0</v>
      </c>
      <c r="N19" s="27">
        <f>Financiering!N28</f>
        <v>0</v>
      </c>
      <c r="O19" s="27">
        <f>Financiering!O28</f>
        <v>0</v>
      </c>
      <c r="P19" s="27">
        <f>Financiering!P28</f>
        <v>0</v>
      </c>
      <c r="Q19" s="27">
        <f>Financiering!Q28</f>
        <v>0</v>
      </c>
      <c r="R19" s="27">
        <f>Financiering!R28</f>
        <v>0</v>
      </c>
      <c r="S19" s="27">
        <f>Financiering!S28</f>
        <v>0</v>
      </c>
      <c r="T19" s="27">
        <f>Financiering!T28</f>
        <v>0</v>
      </c>
      <c r="U19" s="27">
        <f>Financiering!U28</f>
        <v>0</v>
      </c>
      <c r="V19" s="27">
        <f>Financiering!V28</f>
        <v>0</v>
      </c>
      <c r="W19" s="27">
        <f>Financiering!W28</f>
        <v>0</v>
      </c>
      <c r="X19" s="27">
        <f>Financiering!X28</f>
        <v>0</v>
      </c>
      <c r="Y19" s="27">
        <f>Financiering!Y28</f>
        <v>0</v>
      </c>
      <c r="Z19" s="27">
        <f>Financiering!Z28</f>
        <v>0</v>
      </c>
      <c r="AA19" s="27">
        <f>Financiering!AA28</f>
        <v>0</v>
      </c>
      <c r="AB19" s="21"/>
    </row>
    <row r="20" spans="1:28" s="4" customFormat="1" ht="12" x14ac:dyDescent="0.2">
      <c r="A20" s="62" t="s">
        <v>126</v>
      </c>
      <c r="B20" s="27">
        <f>Financiering!B34</f>
        <v>0</v>
      </c>
      <c r="C20" s="27">
        <f>Financiering!C34</f>
        <v>0</v>
      </c>
      <c r="D20" s="27">
        <f>Financiering!D34</f>
        <v>0</v>
      </c>
      <c r="E20" s="27">
        <f>Financiering!E34</f>
        <v>0</v>
      </c>
      <c r="F20" s="27">
        <f>Financiering!F34</f>
        <v>0</v>
      </c>
      <c r="G20" s="27">
        <f>Financiering!G34</f>
        <v>0</v>
      </c>
      <c r="H20" s="27">
        <f>Financiering!H34</f>
        <v>0</v>
      </c>
      <c r="I20" s="27">
        <f>Financiering!I34</f>
        <v>0</v>
      </c>
      <c r="J20" s="27">
        <f>Financiering!J34</f>
        <v>0</v>
      </c>
      <c r="K20" s="27">
        <f>Financiering!K34</f>
        <v>0</v>
      </c>
      <c r="L20" s="27">
        <f>Financiering!L34</f>
        <v>0</v>
      </c>
      <c r="M20" s="27">
        <f>Financiering!M34</f>
        <v>0</v>
      </c>
      <c r="N20" s="27">
        <f>Financiering!N34</f>
        <v>0</v>
      </c>
      <c r="O20" s="27">
        <f>Financiering!O34</f>
        <v>0</v>
      </c>
      <c r="P20" s="27">
        <f>Financiering!P34</f>
        <v>0</v>
      </c>
      <c r="Q20" s="27">
        <f>Financiering!Q34</f>
        <v>0</v>
      </c>
      <c r="R20" s="27">
        <f>Financiering!R34</f>
        <v>0</v>
      </c>
      <c r="S20" s="27">
        <f>Financiering!S34</f>
        <v>0</v>
      </c>
      <c r="T20" s="27">
        <f>Financiering!T34</f>
        <v>0</v>
      </c>
      <c r="U20" s="27">
        <f>Financiering!U34</f>
        <v>0</v>
      </c>
      <c r="V20" s="27">
        <f>Financiering!V34</f>
        <v>0</v>
      </c>
      <c r="W20" s="27">
        <f>Financiering!W34</f>
        <v>0</v>
      </c>
      <c r="X20" s="27">
        <f>Financiering!X34</f>
        <v>0</v>
      </c>
      <c r="Y20" s="27">
        <f>Financiering!Y34</f>
        <v>0</v>
      </c>
      <c r="Z20" s="27">
        <f>Financiering!Z34</f>
        <v>0</v>
      </c>
      <c r="AA20" s="27">
        <f>Financiering!AA34</f>
        <v>0</v>
      </c>
      <c r="AB20" s="21"/>
    </row>
    <row r="21" spans="1:28" s="4" customFormat="1" ht="12" x14ac:dyDescent="0.2">
      <c r="A21" s="62" t="s">
        <v>187</v>
      </c>
      <c r="B21" s="27">
        <f>-Afschrijvingen!C8</f>
        <v>1084710.7438016529</v>
      </c>
      <c r="C21" s="27">
        <f>-Afschrijvingen!D8</f>
        <v>1052169.4214876033</v>
      </c>
      <c r="D21" s="27">
        <f>-Afschrijvingen!E8</f>
        <v>1017675.619834711</v>
      </c>
      <c r="E21" s="27">
        <f>-Afschrijvingen!F8</f>
        <v>981307.43801652908</v>
      </c>
      <c r="F21" s="27">
        <f>-Afschrijvingen!G8</f>
        <v>943139.8512396696</v>
      </c>
      <c r="G21" s="27">
        <f>-Afschrijvingen!H8</f>
        <v>903244.83570247947</v>
      </c>
      <c r="H21" s="27">
        <f>-Afschrijvingen!I8</f>
        <v>861691.48855537211</v>
      </c>
      <c r="I21" s="27">
        <f>-Afschrijvingen!J8</f>
        <v>818499.5934035182</v>
      </c>
      <c r="J21" s="27">
        <f>-Afschrijvingen!K8</f>
        <v>773685.03919726692</v>
      </c>
      <c r="K21" s="27">
        <f>-Afschrijvingen!L8</f>
        <v>727259.457582918</v>
      </c>
      <c r="L21" s="27">
        <f>-Afschrijvingen!M8</f>
        <v>679229.75296364911</v>
      </c>
      <c r="M21" s="27">
        <f>-Afschrijvingen!N8</f>
        <v>629597.49033751339</v>
      </c>
      <c r="N21" s="27">
        <f>-Afschrijvingen!O8</f>
        <v>578358.09096734878</v>
      </c>
      <c r="O21" s="27">
        <f>-Afschrijvingen!P8</f>
        <v>525499.76284390897</v>
      </c>
      <c r="P21" s="27">
        <f>-Afschrijvingen!Q8</f>
        <v>471002.05634083686</v>
      </c>
      <c r="Q21" s="27">
        <f>-Afschrijvingen!R8</f>
        <v>414833.87563235644</v>
      </c>
      <c r="R21" s="27">
        <f>-Afschrijvingen!S8</f>
        <v>356950.67473965709</v>
      </c>
      <c r="S21" s="27">
        <f>-Afschrijvingen!T8</f>
        <v>297290.3862655955</v>
      </c>
      <c r="T21" s="27">
        <f>-Afschrijvingen!U8</f>
        <v>235767.29186801193</v>
      </c>
      <c r="U21" s="27">
        <f>-Afschrijvingen!V8</f>
        <v>172262.36550607882</v>
      </c>
      <c r="V21" s="27">
        <f>-Afschrijvingen!W8</f>
        <v>106607.15146282599</v>
      </c>
      <c r="W21" s="27">
        <f>-Afschrijvingen!X8</f>
        <v>92790.2506655787</v>
      </c>
      <c r="X21" s="27">
        <f>-Afschrijvingen!Y8</f>
        <v>77277.280837003025</v>
      </c>
      <c r="Y21" s="27">
        <f>-Afschrijvingen!Z8</f>
        <v>59368.973076247952</v>
      </c>
      <c r="Z21" s="27">
        <f>-Afschrijvingen!AA8</f>
        <v>37688.28650935887</v>
      </c>
      <c r="AA21" s="27">
        <f>-Afschrijvingen!AB8</f>
        <v>8144.2956418072717</v>
      </c>
      <c r="AB21" s="21"/>
    </row>
    <row r="22" spans="1:28" s="4" customFormat="1" ht="12.75" thickBot="1" x14ac:dyDescent="0.25">
      <c r="A22" s="31" t="s">
        <v>50</v>
      </c>
      <c r="B22" s="32">
        <f t="shared" ref="B22:AA22" si="3">SUM(B11:B21)</f>
        <v>7773960.7438016534</v>
      </c>
      <c r="C22" s="32">
        <f>SUM(C11:C21)</f>
        <v>7764691.8762396695</v>
      </c>
      <c r="D22" s="32">
        <f t="shared" si="3"/>
        <v>7761773.1417012401</v>
      </c>
      <c r="E22" s="32">
        <f t="shared" si="3"/>
        <v>7426829.9460149538</v>
      </c>
      <c r="F22" s="32">
        <f t="shared" si="3"/>
        <v>7096831.2427504156</v>
      </c>
      <c r="G22" s="32">
        <f t="shared" si="3"/>
        <v>6771598.1881753504</v>
      </c>
      <c r="H22" s="32">
        <f t="shared" si="3"/>
        <v>6450959.9359734217</v>
      </c>
      <c r="I22" s="32">
        <f t="shared" si="3"/>
        <v>6134743.4107200066</v>
      </c>
      <c r="J22" s="32">
        <f t="shared" si="3"/>
        <v>5822781.6580613917</v>
      </c>
      <c r="K22" s="32">
        <f t="shared" si="3"/>
        <v>5514913.5140905026</v>
      </c>
      <c r="L22" s="32">
        <f t="shared" si="3"/>
        <v>5210983.2645659065</v>
      </c>
      <c r="M22" s="32">
        <f t="shared" si="3"/>
        <v>4910840.2869163305</v>
      </c>
      <c r="N22" s="32">
        <f t="shared" si="3"/>
        <v>4614338.665131323</v>
      </c>
      <c r="O22" s="32">
        <f t="shared" si="3"/>
        <v>4321336.7632585289</v>
      </c>
      <c r="P22" s="32">
        <f t="shared" si="3"/>
        <v>4031696.7362847142</v>
      </c>
      <c r="Q22" s="32">
        <f t="shared" si="3"/>
        <v>3745283.9458076498</v>
      </c>
      <c r="R22" s="32">
        <f t="shared" si="3"/>
        <v>3461411.5399409416</v>
      </c>
      <c r="S22" s="32">
        <f t="shared" si="3"/>
        <v>3179800.8729675654</v>
      </c>
      <c r="T22" s="32">
        <f t="shared" si="3"/>
        <v>2900320.029982585</v>
      </c>
      <c r="U22" s="32">
        <f t="shared" si="3"/>
        <v>2622832.8624060834</v>
      </c>
      <c r="V22" s="32">
        <f t="shared" si="3"/>
        <v>2347194.7950041099</v>
      </c>
      <c r="W22" s="32">
        <f t="shared" si="3"/>
        <v>2380833.1471455358</v>
      </c>
      <c r="X22" s="32">
        <f t="shared" si="3"/>
        <v>2413827.0817732159</v>
      </c>
      <c r="Y22" s="32">
        <f t="shared" si="3"/>
        <v>2445956.5088981926</v>
      </c>
      <c r="Z22" s="32">
        <f t="shared" si="3"/>
        <v>2476874.6910573915</v>
      </c>
      <c r="AA22" s="32">
        <f t="shared" si="3"/>
        <v>2505721.1569368192</v>
      </c>
      <c r="AB22" s="21"/>
    </row>
    <row r="23" spans="1:28" s="4" customFormat="1" ht="12" x14ac:dyDescent="0.2">
      <c r="A23" s="40"/>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1"/>
    </row>
    <row r="24" spans="1:28" x14ac:dyDescent="0.2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row>
    <row r="25" spans="1:28" s="55" customFormat="1" hidden="1" x14ac:dyDescent="0.25">
      <c r="A25" s="59" t="s">
        <v>347</v>
      </c>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1"/>
    </row>
    <row r="26" spans="1:28" hidden="1" x14ac:dyDescent="0.25">
      <c r="A26" s="62" t="s">
        <v>347</v>
      </c>
      <c r="B26" s="63"/>
      <c r="C26" s="68">
        <f t="shared" ref="C26:AA26" si="4">IFERROR(((C10/$B$10)^(1/C2)-1),"NVT")</f>
        <v>-0.38308567493112988</v>
      </c>
      <c r="D26" s="68">
        <f t="shared" si="4"/>
        <v>-0.68829479650750636</v>
      </c>
      <c r="E26" s="68">
        <f t="shared" si="4"/>
        <v>-1.8217965257942668</v>
      </c>
      <c r="F26" s="68" t="str">
        <f t="shared" si="4"/>
        <v>NVT</v>
      </c>
      <c r="G26" s="68">
        <f t="shared" si="4"/>
        <v>-2.190307249949333</v>
      </c>
      <c r="H26" s="68" t="str">
        <f t="shared" si="4"/>
        <v>NVT</v>
      </c>
      <c r="I26" s="68">
        <f t="shared" si="4"/>
        <v>-2.2552394713284647</v>
      </c>
      <c r="J26" s="68" t="str">
        <f t="shared" si="4"/>
        <v>NVT</v>
      </c>
      <c r="K26" s="68">
        <f t="shared" si="4"/>
        <v>-2.261628565370299</v>
      </c>
      <c r="L26" s="68" t="str">
        <f t="shared" si="4"/>
        <v>NVT</v>
      </c>
      <c r="M26" s="68">
        <f t="shared" si="4"/>
        <v>-2.2528637579684849</v>
      </c>
      <c r="N26" s="68" t="str">
        <f t="shared" si="4"/>
        <v>NVT</v>
      </c>
      <c r="O26" s="68">
        <f t="shared" si="4"/>
        <v>-2.2401854862863253</v>
      </c>
      <c r="P26" s="68" t="str">
        <f t="shared" si="4"/>
        <v>NVT</v>
      </c>
      <c r="Q26" s="68">
        <f t="shared" si="4"/>
        <v>-2.2270660950475039</v>
      </c>
      <c r="R26" s="68" t="str">
        <f t="shared" si="4"/>
        <v>NVT</v>
      </c>
      <c r="S26" s="68">
        <f t="shared" si="4"/>
        <v>-2.2145604486010955</v>
      </c>
      <c r="T26" s="68" t="str">
        <f t="shared" si="4"/>
        <v>NVT</v>
      </c>
      <c r="U26" s="68">
        <f t="shared" si="4"/>
        <v>-2.2030377130775567</v>
      </c>
      <c r="V26" s="68" t="str">
        <f t="shared" si="4"/>
        <v>NVT</v>
      </c>
      <c r="W26" s="68">
        <f t="shared" si="4"/>
        <v>-2.1886218475520813</v>
      </c>
      <c r="X26" s="68" t="str">
        <f t="shared" si="4"/>
        <v>NVT</v>
      </c>
      <c r="Y26" s="68">
        <f t="shared" si="4"/>
        <v>-2.1730442499999922</v>
      </c>
      <c r="Z26" s="68" t="str">
        <f t="shared" si="4"/>
        <v>NVT</v>
      </c>
      <c r="AA26" s="68">
        <f t="shared" si="4"/>
        <v>-2.160269572405769</v>
      </c>
      <c r="AB26" s="1"/>
    </row>
    <row r="27" spans="1:28" hidden="1" x14ac:dyDescent="0.25">
      <c r="A27" s="62" t="s">
        <v>348</v>
      </c>
      <c r="B27" s="69"/>
      <c r="C27" s="39">
        <f t="shared" ref="C27:AA27" si="5">(C10-B10)/C10</f>
        <v>-0.6209706264939846</v>
      </c>
      <c r="D27" s="39">
        <f t="shared" si="5"/>
        <v>-5.3494593966237449</v>
      </c>
      <c r="E27" s="39">
        <f t="shared" si="5"/>
        <v>1.1750633366929621</v>
      </c>
      <c r="F27" s="39">
        <f t="shared" si="5"/>
        <v>0.59927061247889524</v>
      </c>
      <c r="G27" s="39">
        <f t="shared" si="5"/>
        <v>0.42037605816902579</v>
      </c>
      <c r="H27" s="39">
        <f t="shared" si="5"/>
        <v>0.32979782213731224</v>
      </c>
      <c r="I27" s="39">
        <f t="shared" si="5"/>
        <v>0.27388827734873122</v>
      </c>
      <c r="J27" s="39">
        <f t="shared" si="5"/>
        <v>0.23539375974383925</v>
      </c>
      <c r="K27" s="39">
        <f t="shared" si="5"/>
        <v>0.20701558731558919</v>
      </c>
      <c r="L27" s="39">
        <f t="shared" si="5"/>
        <v>0.18509845953165788</v>
      </c>
      <c r="M27" s="39">
        <f t="shared" si="5"/>
        <v>0.16759213932682962</v>
      </c>
      <c r="N27" s="39">
        <f t="shared" si="5"/>
        <v>0.15324918178851801</v>
      </c>
      <c r="O27" s="39">
        <f t="shared" si="5"/>
        <v>0.14126274097443656</v>
      </c>
      <c r="P27" s="39">
        <f t="shared" si="5"/>
        <v>0.13108560642901715</v>
      </c>
      <c r="Q27" s="39">
        <f t="shared" si="5"/>
        <v>0.12233244693591688</v>
      </c>
      <c r="R27" s="39">
        <f t="shared" si="5"/>
        <v>0.11439113878267648</v>
      </c>
      <c r="S27" s="39">
        <f t="shared" si="5"/>
        <v>0.10740981876409156</v>
      </c>
      <c r="T27" s="39">
        <f t="shared" si="5"/>
        <v>0.10130267307820184</v>
      </c>
      <c r="U27" s="39">
        <f t="shared" si="5"/>
        <v>9.5921294338332713E-2</v>
      </c>
      <c r="V27" s="39">
        <f t="shared" si="5"/>
        <v>9.1154749640560584E-2</v>
      </c>
      <c r="W27" s="39">
        <f t="shared" si="5"/>
        <v>2.0740543375162193E-2</v>
      </c>
      <c r="X27" s="39">
        <f t="shared" si="5"/>
        <v>2.0760055889593992E-2</v>
      </c>
      <c r="Y27" s="39">
        <f t="shared" si="5"/>
        <v>2.0966226519949806E-2</v>
      </c>
      <c r="Z27" s="39">
        <f t="shared" si="5"/>
        <v>2.1564103763457337E-2</v>
      </c>
      <c r="AA27" s="39">
        <f t="shared" si="5"/>
        <v>2.3378842770309487E-2</v>
      </c>
      <c r="AB27" s="1"/>
    </row>
    <row r="28" spans="1:28" x14ac:dyDescent="0.25">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1"/>
    </row>
    <row r="29" spans="1:28" hidden="1" x14ac:dyDescent="0.25">
      <c r="A29" s="46" t="s">
        <v>277</v>
      </c>
      <c r="B29" s="50">
        <f t="shared" ref="B29:AA29" si="6">ROUND(B22-B7,0)</f>
        <v>0</v>
      </c>
      <c r="C29" s="50">
        <f t="shared" si="6"/>
        <v>0</v>
      </c>
      <c r="D29" s="50">
        <f t="shared" si="6"/>
        <v>0</v>
      </c>
      <c r="E29" s="50">
        <f t="shared" si="6"/>
        <v>0</v>
      </c>
      <c r="F29" s="50">
        <f t="shared" si="6"/>
        <v>0</v>
      </c>
      <c r="G29" s="50">
        <f t="shared" si="6"/>
        <v>0</v>
      </c>
      <c r="H29" s="50">
        <f t="shared" si="6"/>
        <v>0</v>
      </c>
      <c r="I29" s="50">
        <f t="shared" si="6"/>
        <v>0</v>
      </c>
      <c r="J29" s="50">
        <f t="shared" si="6"/>
        <v>0</v>
      </c>
      <c r="K29" s="50">
        <f t="shared" si="6"/>
        <v>0</v>
      </c>
      <c r="L29" s="50">
        <f t="shared" si="6"/>
        <v>0</v>
      </c>
      <c r="M29" s="50">
        <f t="shared" si="6"/>
        <v>0</v>
      </c>
      <c r="N29" s="50">
        <f t="shared" si="6"/>
        <v>0</v>
      </c>
      <c r="O29" s="50">
        <f t="shared" si="6"/>
        <v>0</v>
      </c>
      <c r="P29" s="50">
        <f t="shared" si="6"/>
        <v>0</v>
      </c>
      <c r="Q29" s="50">
        <f t="shared" si="6"/>
        <v>0</v>
      </c>
      <c r="R29" s="50">
        <f t="shared" si="6"/>
        <v>0</v>
      </c>
      <c r="S29" s="50">
        <f t="shared" si="6"/>
        <v>0</v>
      </c>
      <c r="T29" s="50">
        <f t="shared" si="6"/>
        <v>0</v>
      </c>
      <c r="U29" s="50">
        <f t="shared" si="6"/>
        <v>0</v>
      </c>
      <c r="V29" s="50">
        <f t="shared" si="6"/>
        <v>0</v>
      </c>
      <c r="W29" s="50">
        <f t="shared" si="6"/>
        <v>0</v>
      </c>
      <c r="X29" s="50">
        <f t="shared" si="6"/>
        <v>0</v>
      </c>
      <c r="Y29" s="50">
        <f t="shared" si="6"/>
        <v>0</v>
      </c>
      <c r="Z29" s="50">
        <f t="shared" si="6"/>
        <v>0</v>
      </c>
      <c r="AA29" s="50">
        <f t="shared" si="6"/>
        <v>0</v>
      </c>
      <c r="AB29" s="1"/>
    </row>
    <row r="30" spans="1:28" hidden="1" x14ac:dyDescent="0.25">
      <c r="A30" s="46" t="s">
        <v>278</v>
      </c>
      <c r="B30" s="51" t="e">
        <f>(B10-#REF!-B11)-'Winst-en-verliesrekening'!B32</f>
        <v>#REF!</v>
      </c>
      <c r="C30" s="51">
        <f>(C10-B10)-'Winst-en-verliesrekening'!C32</f>
        <v>0</v>
      </c>
      <c r="D30" s="51">
        <f>(D10-C10)-'Winst-en-verliesrekening'!D32</f>
        <v>0</v>
      </c>
      <c r="E30" s="51">
        <f>(E10-D10)-'Winst-en-verliesrekening'!E32</f>
        <v>0</v>
      </c>
      <c r="F30" s="51">
        <f>(F10-E10)-'Winst-en-verliesrekening'!F32</f>
        <v>0</v>
      </c>
      <c r="G30" s="51">
        <f>(G10-F10)-'Winst-en-verliesrekening'!G32</f>
        <v>0</v>
      </c>
      <c r="H30" s="51">
        <f>(H10-G10)-'Winst-en-verliesrekening'!H32</f>
        <v>0</v>
      </c>
      <c r="I30" s="51">
        <f>(I10-H10)-'Winst-en-verliesrekening'!I32</f>
        <v>0</v>
      </c>
      <c r="J30" s="51">
        <f>(J10-I10)-'Winst-en-verliesrekening'!J32</f>
        <v>0</v>
      </c>
      <c r="K30" s="51">
        <f>(K10-J10)-'Winst-en-verliesrekening'!K32</f>
        <v>0</v>
      </c>
      <c r="L30" s="51">
        <f>(L10-K10)-'Winst-en-verliesrekening'!L32</f>
        <v>0</v>
      </c>
      <c r="M30" s="51">
        <f>(M10-L10)-'Winst-en-verliesrekening'!M32</f>
        <v>0</v>
      </c>
      <c r="N30" s="51">
        <f>(N10-M10)-'Winst-en-verliesrekening'!N32</f>
        <v>0</v>
      </c>
      <c r="O30" s="51">
        <f>(O10-N10)-'Winst-en-verliesrekening'!O32</f>
        <v>0</v>
      </c>
      <c r="P30" s="51">
        <f>(P10-O10)-'Winst-en-verliesrekening'!P32</f>
        <v>0</v>
      </c>
      <c r="Q30" s="51">
        <f>(Q10-P10)-'Winst-en-verliesrekening'!Q32</f>
        <v>0</v>
      </c>
      <c r="R30" s="51">
        <f>(R10-Q10)-'Winst-en-verliesrekening'!R32</f>
        <v>0</v>
      </c>
      <c r="S30" s="51">
        <f>(S10-R10)-'Winst-en-verliesrekening'!S32</f>
        <v>0</v>
      </c>
      <c r="T30" s="51">
        <f>(T10-S10)-'Winst-en-verliesrekening'!T32</f>
        <v>0</v>
      </c>
      <c r="U30" s="51">
        <f>(U10-T10)-'Winst-en-verliesrekening'!U32</f>
        <v>2.3283064365386963E-10</v>
      </c>
      <c r="V30" s="51">
        <f>(V10-U10)-'Winst-en-verliesrekening'!V32</f>
        <v>0</v>
      </c>
      <c r="W30" s="51">
        <f>(W10-V10)-'Winst-en-verliesrekening'!W32</f>
        <v>1.0186340659856796E-10</v>
      </c>
      <c r="X30" s="51">
        <f>(X10-W10)-'Winst-en-verliesrekening'!X32</f>
        <v>5.8207660913467407E-11</v>
      </c>
      <c r="Y30" s="51">
        <f>(Y10-X10)-'Winst-en-verliesrekening'!Y32</f>
        <v>4.0745362639427185E-10</v>
      </c>
      <c r="Z30" s="51">
        <f>(Z10-Y10)-'Winst-en-verliesrekening'!Z32</f>
        <v>2.1827872842550278E-10</v>
      </c>
      <c r="AA30" s="51">
        <f>(AA10-Z10)-'Winst-en-verliesrekening'!AA32</f>
        <v>-2.6193447411060333E-10</v>
      </c>
      <c r="AB30" s="1"/>
    </row>
    <row r="31" spans="1:28" s="1" customFormat="1" x14ac:dyDescent="0.25"/>
    <row r="32" spans="1:28" s="1" customFormat="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x14ac:dyDescent="0.25"/>
  </sheetData>
  <sheetProtection algorithmName="SHA-512" hashValue="OgGAi82FQyWuENr12iyKSSx+XH7WCMLwfng5htxjn8lU6KftXz9qLt1hSOhysGn72GLFYZbcXIlXXyZeAiogFA==" saltValue="YQr+NoDxElJRAfTzNotR6A==" spinCount="100000" sheet="1" objects="1" scenarios="1"/>
  <conditionalFormatting sqref="A29:A30 B26 A25:A27 A2:AA3 A9:AA9 A4:A8 A10:A23">
    <cfRule type="cellIs" dxfId="4" priority="25" operator="lessThan">
      <formula>0</formula>
    </cfRule>
  </conditionalFormatting>
  <conditionalFormatting sqref="L3 L9">
    <cfRule type="colorScale" priority="29">
      <colorScale>
        <cfvo type="min"/>
        <cfvo type="percentile" val="50"/>
        <cfvo type="max"/>
        <color rgb="FF63BE7B"/>
        <color rgb="FFFFEB84"/>
        <color rgb="FFF8696B"/>
      </colorScale>
    </cfRule>
  </conditionalFormatting>
  <pageMargins left="0.7" right="0.7" top="0.75" bottom="0.75" header="0.3" footer="0.3"/>
  <pageSetup paperSiz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B57"/>
  <sheetViews>
    <sheetView topLeftCell="L1" zoomScaleNormal="100" workbookViewId="0">
      <selection activeCell="AA5" sqref="AA5"/>
    </sheetView>
  </sheetViews>
  <sheetFormatPr defaultColWidth="0" defaultRowHeight="15" zeroHeight="1" x14ac:dyDescent="0.25"/>
  <cols>
    <col min="1" max="1" width="42.28515625" customWidth="1"/>
    <col min="2" max="23" width="15.28515625" customWidth="1"/>
    <col min="24" max="26" width="15.28515625" bestFit="1" customWidth="1"/>
    <col min="27" max="27" width="16.140625" bestFit="1" customWidth="1"/>
    <col min="28" max="28" width="9" customWidth="1"/>
    <col min="29" max="16384" width="9" hidden="1"/>
  </cols>
  <sheetData>
    <row r="1" spans="1:28" s="4" customFormat="1" ht="12" x14ac:dyDescent="0.2">
      <c r="A1" s="2"/>
      <c r="B1" s="3"/>
      <c r="C1" s="3"/>
      <c r="D1" s="3"/>
      <c r="E1" s="3"/>
      <c r="F1" s="3"/>
      <c r="G1" s="3"/>
      <c r="H1" s="3"/>
      <c r="I1" s="3"/>
      <c r="J1" s="3"/>
      <c r="K1" s="3"/>
      <c r="L1" s="3"/>
      <c r="M1" s="3"/>
      <c r="N1" s="3"/>
      <c r="O1" s="3"/>
      <c r="P1" s="3"/>
      <c r="Q1" s="3"/>
      <c r="R1" s="3"/>
      <c r="S1" s="3"/>
      <c r="T1" s="3"/>
      <c r="U1" s="3"/>
      <c r="V1" s="3"/>
      <c r="W1" s="3"/>
      <c r="X1" s="3"/>
      <c r="Y1" s="3"/>
      <c r="Z1" s="3"/>
      <c r="AA1" s="3"/>
      <c r="AB1" s="21"/>
    </row>
    <row r="2" spans="1:28" s="4" customFormat="1" ht="12" x14ac:dyDescent="0.2">
      <c r="A2" s="5" t="s">
        <v>28</v>
      </c>
      <c r="B2" s="6">
        <v>0</v>
      </c>
      <c r="C2" s="6">
        <v>1</v>
      </c>
      <c r="D2" s="6">
        <v>2</v>
      </c>
      <c r="E2" s="6">
        <v>3</v>
      </c>
      <c r="F2" s="6">
        <v>4</v>
      </c>
      <c r="G2" s="6">
        <v>5</v>
      </c>
      <c r="H2" s="6">
        <v>6</v>
      </c>
      <c r="I2" s="6">
        <v>7</v>
      </c>
      <c r="J2" s="6">
        <v>8</v>
      </c>
      <c r="K2" s="6">
        <v>9</v>
      </c>
      <c r="L2" s="6">
        <v>10</v>
      </c>
      <c r="M2" s="6">
        <v>11</v>
      </c>
      <c r="N2" s="6">
        <v>12</v>
      </c>
      <c r="O2" s="6">
        <v>13</v>
      </c>
      <c r="P2" s="6">
        <v>14</v>
      </c>
      <c r="Q2" s="6">
        <v>15</v>
      </c>
      <c r="R2" s="6">
        <v>16</v>
      </c>
      <c r="S2" s="6">
        <v>17</v>
      </c>
      <c r="T2" s="6">
        <v>18</v>
      </c>
      <c r="U2" s="6">
        <v>19</v>
      </c>
      <c r="V2" s="6">
        <v>20</v>
      </c>
      <c r="W2" s="6">
        <v>21</v>
      </c>
      <c r="X2" s="6">
        <v>22</v>
      </c>
      <c r="Y2" s="6">
        <v>23</v>
      </c>
      <c r="Z2" s="6">
        <v>24</v>
      </c>
      <c r="AA2" s="6">
        <v>25</v>
      </c>
      <c r="AB2" s="21"/>
    </row>
    <row r="3" spans="1:28" s="10" customFormat="1" ht="12" x14ac:dyDescent="0.2">
      <c r="A3" s="7" t="s">
        <v>39</v>
      </c>
      <c r="B3" s="8"/>
      <c r="C3" s="8"/>
      <c r="D3" s="8"/>
      <c r="E3" s="8"/>
      <c r="F3" s="8"/>
      <c r="G3" s="8"/>
      <c r="H3" s="8"/>
      <c r="I3" s="8"/>
      <c r="J3" s="8"/>
      <c r="K3" s="8"/>
      <c r="L3" s="9"/>
      <c r="M3" s="9"/>
      <c r="N3" s="9"/>
      <c r="O3" s="9"/>
      <c r="P3" s="9"/>
      <c r="Q3" s="9"/>
      <c r="R3" s="9"/>
      <c r="S3" s="9"/>
      <c r="T3" s="9"/>
      <c r="U3" s="9"/>
      <c r="V3" s="9"/>
      <c r="W3" s="9"/>
      <c r="X3" s="9"/>
      <c r="Y3" s="9"/>
      <c r="Z3" s="9"/>
      <c r="AA3" s="9"/>
      <c r="AB3" s="21"/>
    </row>
    <row r="4" spans="1:28" s="4" customFormat="1" ht="12" x14ac:dyDescent="0.2">
      <c r="A4" s="21" t="s">
        <v>412</v>
      </c>
      <c r="B4" s="24">
        <f>Kasstromenoverzicht!B4</f>
        <v>0</v>
      </c>
      <c r="C4" s="24">
        <f>Kasstromenoverzicht!C4</f>
        <v>348840</v>
      </c>
      <c r="D4" s="24">
        <f>Kasstromenoverzicht!D4</f>
        <v>355406.4</v>
      </c>
      <c r="E4" s="24">
        <f>Kasstromenoverzicht!E4</f>
        <v>361710.14400000003</v>
      </c>
      <c r="F4" s="24">
        <f>Kasstromenoverzicht!F4</f>
        <v>367761.73823999998</v>
      </c>
      <c r="G4" s="24">
        <f>Kasstromenoverzicht!G4</f>
        <v>373571.26871039998</v>
      </c>
      <c r="H4" s="24">
        <f>Kasstromenoverzicht!H4</f>
        <v>379148.41796198406</v>
      </c>
      <c r="I4" s="24">
        <f>Kasstromenoverzicht!I4</f>
        <v>384502.48124350468</v>
      </c>
      <c r="J4" s="24">
        <f>Kasstromenoverzicht!J4</f>
        <v>389642.38199376443</v>
      </c>
      <c r="K4" s="24">
        <f>Kasstromenoverzicht!K4</f>
        <v>394576.68671401381</v>
      </c>
      <c r="L4" s="24">
        <f>Kasstromenoverzicht!L4</f>
        <v>399313.61924545333</v>
      </c>
      <c r="M4" s="24">
        <f>Kasstromenoverzicht!M4</f>
        <v>403861.07447563513</v>
      </c>
      <c r="N4" s="24">
        <f>Kasstromenoverzicht!N4</f>
        <v>408226.63149660977</v>
      </c>
      <c r="O4" s="24">
        <f>Kasstromenoverzicht!O4</f>
        <v>412417.56623674533</v>
      </c>
      <c r="P4" s="24">
        <f>Kasstromenoverzicht!P4</f>
        <v>416440.86358727555</v>
      </c>
      <c r="Q4" s="24">
        <f>Kasstromenoverzicht!Q4</f>
        <v>420303.22904378455</v>
      </c>
      <c r="R4" s="24">
        <f>Kasstromenoverzicht!R4</f>
        <v>424011.09988203319</v>
      </c>
      <c r="S4" s="24">
        <f>Kasstromenoverzicht!S4</f>
        <v>427570.65588675183</v>
      </c>
      <c r="T4" s="24">
        <f>Kasstromenoverzicht!T4</f>
        <v>430987.82965128182</v>
      </c>
      <c r="U4" s="24">
        <f>Kasstromenoverzicht!U4</f>
        <v>434268.31646523054</v>
      </c>
      <c r="V4" s="24">
        <f>Kasstromenoverzicht!V4</f>
        <v>437417.58380662126</v>
      </c>
      <c r="W4" s="24">
        <f>Kasstromenoverzicht!W4</f>
        <v>440440.88045435643</v>
      </c>
      <c r="X4" s="24">
        <f>Kasstromenoverzicht!X4</f>
        <v>443343.24523618224</v>
      </c>
      <c r="Y4" s="24">
        <f>Kasstromenoverzicht!Y4</f>
        <v>446129.51542673493</v>
      </c>
      <c r="Z4" s="24">
        <f>Kasstromenoverzicht!Z4</f>
        <v>448804.33480966551</v>
      </c>
      <c r="AA4" s="24">
        <f>Kasstromenoverzicht!AA4</f>
        <v>451372.16141727887</v>
      </c>
      <c r="AB4" s="21"/>
    </row>
    <row r="5" spans="1:28" s="4" customFormat="1" ht="12" x14ac:dyDescent="0.2">
      <c r="A5" s="57" t="s">
        <v>350</v>
      </c>
      <c r="B5" s="24">
        <f>SUM(Kasstromenoverzicht!B5:B6)</f>
        <v>0</v>
      </c>
      <c r="C5" s="24">
        <f>SUM(Kasstromenoverzicht!C5:C6)</f>
        <v>115508.6776859504</v>
      </c>
      <c r="D5" s="24">
        <f>SUM(Kasstromenoverzicht!D5:D6)</f>
        <v>119448.20305785122</v>
      </c>
      <c r="E5" s="24">
        <f>SUM(Kasstromenoverzicht!E5:E6)</f>
        <v>123390.32479304128</v>
      </c>
      <c r="F5" s="24">
        <f>SUM(Kasstromenoverzicht!F5:F6)</f>
        <v>127336.52814781254</v>
      </c>
      <c r="G5" s="24">
        <f>SUM(Kasstromenoverzicht!G5:G6)</f>
        <v>131288.28363174375</v>
      </c>
      <c r="H5" s="24">
        <f>SUM(Kasstromenoverzicht!H5:H6)</f>
        <v>135247.04773435407</v>
      </c>
      <c r="I5" s="24">
        <f>SUM(Kasstromenoverzicht!I5:I6)</f>
        <v>139214.26363839128</v>
      </c>
      <c r="J5" s="24">
        <f>SUM(Kasstromenoverzicht!J5:J6)</f>
        <v>143191.3619201757</v>
      </c>
      <c r="K5" s="24">
        <f>SUM(Kasstromenoverzicht!K5:K6)</f>
        <v>147179.76123741033</v>
      </c>
      <c r="L5" s="24">
        <f>SUM(Kasstromenoverzicht!L5:L6)</f>
        <v>151180.86900485965</v>
      </c>
      <c r="M5" s="24">
        <f>SUM(Kasstromenoverzicht!M5:M6)</f>
        <v>155196.08205828915</v>
      </c>
      <c r="N5" s="24">
        <f>SUM(Kasstromenoverzicht!N5:N6)</f>
        <v>159226.78730705014</v>
      </c>
      <c r="O5" s="24">
        <f>SUM(Kasstromenoverzicht!O5:O6)</f>
        <v>163274.36237568469</v>
      </c>
      <c r="P5" s="24">
        <f>SUM(Kasstromenoverzicht!P5:P6)</f>
        <v>167340.17623491757</v>
      </c>
      <c r="Q5" s="24">
        <f>SUM(Kasstromenoverzicht!Q5:Q6)</f>
        <v>171425.58982239489</v>
      </c>
      <c r="R5" s="24">
        <f>SUM(Kasstromenoverzicht!R5:R6)</f>
        <v>175531.95665351913</v>
      </c>
      <c r="S5" s="24">
        <f>SUM(Kasstromenoverzicht!S5:S6)</f>
        <v>179660.62342272527</v>
      </c>
      <c r="T5" s="24">
        <f>SUM(Kasstromenoverzicht!T5:T6)</f>
        <v>183812.93059553279</v>
      </c>
      <c r="U5" s="24">
        <f>SUM(Kasstromenoverzicht!U5:U6)</f>
        <v>187990.21299170289</v>
      </c>
      <c r="V5" s="24">
        <f>SUM(Kasstromenoverzicht!V5:V6)</f>
        <v>192193.80035982217</v>
      </c>
      <c r="W5" s="24">
        <f>SUM(Kasstromenoverzicht!W5:W6)</f>
        <v>40851.577102329698</v>
      </c>
      <c r="X5" s="24">
        <f>SUM(Kasstromenoverzicht!X5:X6)</f>
        <v>39805.77672851002</v>
      </c>
      <c r="Y5" s="24">
        <f>SUM(Kasstromenoverzicht!Y5:Y6)</f>
        <v>38786.74884426019</v>
      </c>
      <c r="Z5" s="24">
        <f>SUM(Kasstromenoverzicht!Z5:Z6)</f>
        <v>37793.808073847111</v>
      </c>
      <c r="AA5" s="24">
        <f>SUM(Kasstromenoverzicht!AA5:AA6)</f>
        <v>36826.286587156646</v>
      </c>
      <c r="AB5" s="21"/>
    </row>
    <row r="6" spans="1:28" s="4" customFormat="1" ht="12" x14ac:dyDescent="0.2">
      <c r="A6" s="57" t="s">
        <v>349</v>
      </c>
      <c r="B6" s="24">
        <f>Afschrijvingen!C10</f>
        <v>0</v>
      </c>
      <c r="C6" s="24">
        <f>Afschrijvingen!D10</f>
        <v>54235.537190082643</v>
      </c>
      <c r="D6" s="24">
        <f>Afschrijvingen!E10</f>
        <v>55320.247933884297</v>
      </c>
      <c r="E6" s="24">
        <f>Afschrijvingen!F10</f>
        <v>56361.570247933887</v>
      </c>
      <c r="F6" s="24">
        <f>Afschrijvingen!G10</f>
        <v>57361.239669421484</v>
      </c>
      <c r="G6" s="24">
        <f>Afschrijvingen!H10</f>
        <v>58320.922314049581</v>
      </c>
      <c r="H6" s="24">
        <f>Afschrijvingen!I10</f>
        <v>59242.217652892556</v>
      </c>
      <c r="I6" s="24">
        <f>Afschrijvingen!J10</f>
        <v>60173.210837407569</v>
      </c>
      <c r="J6" s="24">
        <f>Afschrijvingen!K10</f>
        <v>61116.617264382774</v>
      </c>
      <c r="K6" s="24">
        <f>Afschrijvingen!L10</f>
        <v>62075.562150155209</v>
      </c>
      <c r="L6" s="24">
        <f>Afschrijvingen!M10</f>
        <v>63053.685933643101</v>
      </c>
      <c r="M6" s="24">
        <f>Afschrijvingen!N10</f>
        <v>64055.284687934713</v>
      </c>
      <c r="N6" s="24">
        <f>Afschrijvingen!O10</f>
        <v>65085.500549491779</v>
      </c>
      <c r="O6" s="24">
        <f>Afschrijvingen!P10</f>
        <v>66150.585255593862</v>
      </c>
      <c r="P6" s="24">
        <f>Afschrijvingen!Q10</f>
        <v>67258.273349940035</v>
      </c>
      <c r="Q6" s="24">
        <f>Afschrijvingen!R10</f>
        <v>68418.324881473483</v>
      </c>
      <c r="R6" s="24">
        <f>Afschrijvingen!S10</f>
        <v>69643.3392987728</v>
      </c>
      <c r="S6" s="24">
        <f>Afschrijvingen!T10</f>
        <v>70950.021343892076</v>
      </c>
      <c r="T6" s="24">
        <f>Afschrijvingen!U10</f>
        <v>72361.237952620897</v>
      </c>
      <c r="U6" s="24">
        <f>Afschrijvingen!V10</f>
        <v>73909.544174769093</v>
      </c>
      <c r="V6" s="24">
        <f>Afschrijvingen!W10</f>
        <v>75643.647143575086</v>
      </c>
      <c r="W6" s="24">
        <f>Afschrijvingen!X10</f>
        <v>23405.79657355688</v>
      </c>
      <c r="X6" s="24">
        <f>Afschrijvingen!Y10</f>
        <v>24718.309773832632</v>
      </c>
      <c r="Y6" s="24">
        <f>Afschrijvingen!Z10</f>
        <v>26745.434108202018</v>
      </c>
      <c r="Z6" s="24">
        <f>Afschrijvingen!AA10</f>
        <v>30164.327860437894</v>
      </c>
      <c r="AA6" s="24">
        <f>Afschrijvingen!AB10</f>
        <v>37688.286509358615</v>
      </c>
      <c r="AB6" s="21"/>
    </row>
    <row r="7" spans="1:28" s="4" customFormat="1" ht="12" x14ac:dyDescent="0.2">
      <c r="A7" s="21" t="str">
        <f>Kasstromenoverzicht!A13</f>
        <v>Andere operationale activiteiten</v>
      </c>
      <c r="B7" s="24">
        <f>IF(Kasstromenoverzicht!B13&gt;0,Kasstromenoverzicht!B13,0)</f>
        <v>0</v>
      </c>
      <c r="C7" s="24">
        <f>IF(Kasstromenoverzicht!C13&gt;0,Kasstromenoverzicht!C13,0)</f>
        <v>0</v>
      </c>
      <c r="D7" s="24">
        <f>IF(Kasstromenoverzicht!D13&gt;0,Kasstromenoverzicht!D13,0)</f>
        <v>0</v>
      </c>
      <c r="E7" s="24">
        <f>IF(Kasstromenoverzicht!E13&gt;0,Kasstromenoverzicht!E13,0)</f>
        <v>0</v>
      </c>
      <c r="F7" s="24">
        <f>IF(Kasstromenoverzicht!F13&gt;0,Kasstromenoverzicht!F13,0)</f>
        <v>0</v>
      </c>
      <c r="G7" s="24">
        <f>IF(Kasstromenoverzicht!G13&gt;0,Kasstromenoverzicht!G13,0)</f>
        <v>0</v>
      </c>
      <c r="H7" s="24">
        <f>IF(Kasstromenoverzicht!H13&gt;0,Kasstromenoverzicht!H13,0)</f>
        <v>0</v>
      </c>
      <c r="I7" s="24">
        <f>IF(Kasstromenoverzicht!I13&gt;0,Kasstromenoverzicht!I13,0)</f>
        <v>0</v>
      </c>
      <c r="J7" s="24">
        <f>IF(Kasstromenoverzicht!J13&gt;0,Kasstromenoverzicht!J13,0)</f>
        <v>0</v>
      </c>
      <c r="K7" s="24">
        <f>IF(Kasstromenoverzicht!K13&gt;0,Kasstromenoverzicht!K13,0)</f>
        <v>0</v>
      </c>
      <c r="L7" s="24">
        <f>IF(Kasstromenoverzicht!L13&gt;0,Kasstromenoverzicht!L13,0)</f>
        <v>0</v>
      </c>
      <c r="M7" s="24">
        <f>IF(Kasstromenoverzicht!M13&gt;0,Kasstromenoverzicht!M13,0)</f>
        <v>0</v>
      </c>
      <c r="N7" s="24">
        <f>IF(Kasstromenoverzicht!N13&gt;0,Kasstromenoverzicht!N13,0)</f>
        <v>0</v>
      </c>
      <c r="O7" s="24">
        <f>IF(Kasstromenoverzicht!O13&gt;0,Kasstromenoverzicht!O13,0)</f>
        <v>0</v>
      </c>
      <c r="P7" s="24">
        <f>IF(Kasstromenoverzicht!P13&gt;0,Kasstromenoverzicht!P13,0)</f>
        <v>0</v>
      </c>
      <c r="Q7" s="24">
        <f>IF(Kasstromenoverzicht!Q13&gt;0,Kasstromenoverzicht!Q13,0)</f>
        <v>0</v>
      </c>
      <c r="R7" s="24">
        <f>IF(Kasstromenoverzicht!R13&gt;0,Kasstromenoverzicht!R13,0)</f>
        <v>0</v>
      </c>
      <c r="S7" s="24">
        <f>IF(Kasstromenoverzicht!S13&gt;0,Kasstromenoverzicht!S13,0)</f>
        <v>0</v>
      </c>
      <c r="T7" s="24">
        <f>IF(Kasstromenoverzicht!T13&gt;0,Kasstromenoverzicht!T13,0)</f>
        <v>0</v>
      </c>
      <c r="U7" s="24">
        <f>IF(Kasstromenoverzicht!U13&gt;0,Kasstromenoverzicht!U13,0)</f>
        <v>0</v>
      </c>
      <c r="V7" s="24">
        <f>IF(Kasstromenoverzicht!V13&gt;0,Kasstromenoverzicht!V13,0)</f>
        <v>0</v>
      </c>
      <c r="W7" s="24">
        <f>IF(Kasstromenoverzicht!W13&gt;0,Kasstromenoverzicht!W13,0)</f>
        <v>0</v>
      </c>
      <c r="X7" s="24">
        <f>IF(Kasstromenoverzicht!X13&gt;0,Kasstromenoverzicht!X13,0)</f>
        <v>0</v>
      </c>
      <c r="Y7" s="24">
        <f>IF(Kasstromenoverzicht!Y13&gt;0,Kasstromenoverzicht!Y13,0)</f>
        <v>0</v>
      </c>
      <c r="Z7" s="24">
        <f>IF(Kasstromenoverzicht!Z13&gt;0,Kasstromenoverzicht!Z13,0)</f>
        <v>0</v>
      </c>
      <c r="AA7" s="24">
        <f>IF(Kasstromenoverzicht!AA13&gt;0,Kasstromenoverzicht!AA13,0)</f>
        <v>0</v>
      </c>
      <c r="AB7" s="21"/>
    </row>
    <row r="8" spans="1:28" s="4" customFormat="1" ht="12.75" thickBot="1" x14ac:dyDescent="0.25">
      <c r="A8" s="18" t="s">
        <v>57</v>
      </c>
      <c r="B8" s="54">
        <f t="shared" ref="B8:AA8" si="0">SUM(B4:B7)</f>
        <v>0</v>
      </c>
      <c r="C8" s="54">
        <f t="shared" si="0"/>
        <v>518584.21487603307</v>
      </c>
      <c r="D8" s="54">
        <f t="shared" si="0"/>
        <v>530174.85099173558</v>
      </c>
      <c r="E8" s="54">
        <f t="shared" si="0"/>
        <v>541462.03904097516</v>
      </c>
      <c r="F8" s="54">
        <f t="shared" si="0"/>
        <v>552459.50605723402</v>
      </c>
      <c r="G8" s="54">
        <f t="shared" si="0"/>
        <v>563180.47465619328</v>
      </c>
      <c r="H8" s="54">
        <f t="shared" si="0"/>
        <v>573637.68334923068</v>
      </c>
      <c r="I8" s="54">
        <f t="shared" si="0"/>
        <v>583889.95571930357</v>
      </c>
      <c r="J8" s="54">
        <f t="shared" si="0"/>
        <v>593950.36117832293</v>
      </c>
      <c r="K8" s="54">
        <f t="shared" si="0"/>
        <v>603832.01010157936</v>
      </c>
      <c r="L8" s="54">
        <f t="shared" si="0"/>
        <v>613548.17418395611</v>
      </c>
      <c r="M8" s="54">
        <f t="shared" si="0"/>
        <v>623112.44122185896</v>
      </c>
      <c r="N8" s="54">
        <f t="shared" si="0"/>
        <v>632538.91935315169</v>
      </c>
      <c r="O8" s="54">
        <f t="shared" si="0"/>
        <v>641842.51386802387</v>
      </c>
      <c r="P8" s="54">
        <f t="shared" si="0"/>
        <v>651039.31317213317</v>
      </c>
      <c r="Q8" s="54">
        <f t="shared" si="0"/>
        <v>660147.14374765288</v>
      </c>
      <c r="R8" s="54">
        <f t="shared" si="0"/>
        <v>669186.39583432511</v>
      </c>
      <c r="S8" s="54">
        <f t="shared" si="0"/>
        <v>678181.30065336917</v>
      </c>
      <c r="T8" s="54">
        <f t="shared" si="0"/>
        <v>687161.99819943542</v>
      </c>
      <c r="U8" s="54">
        <f t="shared" si="0"/>
        <v>696168.07363170257</v>
      </c>
      <c r="V8" s="54">
        <f t="shared" si="0"/>
        <v>705255.03131001862</v>
      </c>
      <c r="W8" s="54">
        <f t="shared" si="0"/>
        <v>504698.25413024303</v>
      </c>
      <c r="X8" s="54">
        <f t="shared" si="0"/>
        <v>507867.3317385249</v>
      </c>
      <c r="Y8" s="54">
        <f t="shared" si="0"/>
        <v>511661.6983791971</v>
      </c>
      <c r="Z8" s="54">
        <f t="shared" si="0"/>
        <v>516762.47074395051</v>
      </c>
      <c r="AA8" s="54">
        <f t="shared" si="0"/>
        <v>525886.73451379407</v>
      </c>
      <c r="AB8" s="21"/>
    </row>
    <row r="9" spans="1:28" s="4" customFormat="1" ht="12" x14ac:dyDescent="0.2">
      <c r="A9" s="21"/>
      <c r="B9" s="26"/>
      <c r="C9" s="26"/>
      <c r="D9" s="26"/>
      <c r="E9" s="26"/>
      <c r="F9" s="26"/>
      <c r="G9" s="26"/>
      <c r="H9" s="26"/>
      <c r="I9" s="26"/>
      <c r="J9" s="26"/>
      <c r="K9" s="26"/>
      <c r="L9" s="26"/>
      <c r="M9" s="26"/>
      <c r="N9" s="26"/>
      <c r="O9" s="26"/>
      <c r="P9" s="26"/>
      <c r="Q9" s="26"/>
      <c r="R9" s="26"/>
      <c r="S9" s="26"/>
      <c r="T9" s="26"/>
      <c r="U9" s="26"/>
      <c r="V9" s="26"/>
      <c r="W9" s="26"/>
      <c r="X9" s="26"/>
      <c r="Y9" s="26"/>
      <c r="Z9" s="26"/>
      <c r="AA9" s="26"/>
      <c r="AB9" s="21"/>
    </row>
    <row r="10" spans="1:28" s="10" customFormat="1" ht="12" x14ac:dyDescent="0.2">
      <c r="A10" s="7" t="s">
        <v>38</v>
      </c>
      <c r="B10" s="8"/>
      <c r="C10" s="8"/>
      <c r="D10" s="8"/>
      <c r="E10" s="8"/>
      <c r="F10" s="8"/>
      <c r="G10" s="8"/>
      <c r="H10" s="8"/>
      <c r="I10" s="8"/>
      <c r="J10" s="8"/>
      <c r="K10" s="8"/>
      <c r="L10" s="9"/>
      <c r="M10" s="9"/>
      <c r="N10" s="9"/>
      <c r="O10" s="9"/>
      <c r="P10" s="9"/>
      <c r="Q10" s="9"/>
      <c r="R10" s="9"/>
      <c r="S10" s="9"/>
      <c r="T10" s="9"/>
      <c r="U10" s="9"/>
      <c r="V10" s="9"/>
      <c r="W10" s="9"/>
      <c r="X10" s="9"/>
      <c r="Y10" s="9"/>
      <c r="Z10" s="9"/>
      <c r="AA10" s="9"/>
      <c r="AB10" s="21"/>
    </row>
    <row r="11" spans="1:28" s="4" customFormat="1" ht="12" x14ac:dyDescent="0.2">
      <c r="A11" s="25" t="str">
        <f>Parameters!A15</f>
        <v>Jaarlijkste organisatiekosten</v>
      </c>
      <c r="B11" s="24">
        <f>Kasstromenoverzicht!B9</f>
        <v>0</v>
      </c>
      <c r="C11" s="24">
        <f>Kasstromenoverzicht!C9</f>
        <v>-76124.999999999985</v>
      </c>
      <c r="D11" s="24">
        <f>Kasstromenoverzicht!D9</f>
        <v>-77266.874999999985</v>
      </c>
      <c r="E11" s="24">
        <f>Kasstromenoverzicht!E9</f>
        <v>-78425.878124999974</v>
      </c>
      <c r="F11" s="24">
        <f>Kasstromenoverzicht!F9</f>
        <v>-79602.26629687495</v>
      </c>
      <c r="G11" s="24">
        <f>Kasstromenoverzicht!G9</f>
        <v>-80796.300291328065</v>
      </c>
      <c r="H11" s="24">
        <f>Kasstromenoverzicht!H9</f>
        <v>-82008.244795697974</v>
      </c>
      <c r="I11" s="24">
        <f>Kasstromenoverzicht!I9</f>
        <v>-83238.368467633438</v>
      </c>
      <c r="J11" s="24">
        <f>Kasstromenoverzicht!J9</f>
        <v>-84486.943994647925</v>
      </c>
      <c r="K11" s="24">
        <f>Kasstromenoverzicht!K9</f>
        <v>-85754.248154567642</v>
      </c>
      <c r="L11" s="24">
        <f>Kasstromenoverzicht!L9</f>
        <v>-87040.561876886146</v>
      </c>
      <c r="M11" s="24">
        <f>Kasstromenoverzicht!M9</f>
        <v>-88346.170305039428</v>
      </c>
      <c r="N11" s="24">
        <f>Kasstromenoverzicht!N9</f>
        <v>-89671.362859614994</v>
      </c>
      <c r="O11" s="24">
        <f>Kasstromenoverzicht!O9</f>
        <v>-91016.43330250922</v>
      </c>
      <c r="P11" s="24">
        <f>Kasstromenoverzicht!P9</f>
        <v>-92381.679802046827</v>
      </c>
      <c r="Q11" s="24">
        <f>Kasstromenoverzicht!Q9</f>
        <v>-93767.404999077524</v>
      </c>
      <c r="R11" s="24">
        <f>Kasstromenoverzicht!R9</f>
        <v>-95173.916074063673</v>
      </c>
      <c r="S11" s="24">
        <f>Kasstromenoverzicht!S9</f>
        <v>-96601.524815174605</v>
      </c>
      <c r="T11" s="24">
        <f>Kasstromenoverzicht!T9</f>
        <v>-98050.547687402228</v>
      </c>
      <c r="U11" s="24">
        <f>Kasstromenoverzicht!U9</f>
        <v>-99521.30590271324</v>
      </c>
      <c r="V11" s="24">
        <f>Kasstromenoverzicht!V9</f>
        <v>-101014.12549125392</v>
      </c>
      <c r="W11" s="24">
        <f>Kasstromenoverzicht!W9</f>
        <v>-102529.33737362271</v>
      </c>
      <c r="X11" s="24">
        <f>Kasstromenoverzicht!X9</f>
        <v>-104067.27743422703</v>
      </c>
      <c r="Y11" s="24">
        <f>Kasstromenoverzicht!Y9</f>
        <v>-105628.28659574043</v>
      </c>
      <c r="Z11" s="24">
        <f>Kasstromenoverzicht!Z9</f>
        <v>-107212.71089467652</v>
      </c>
      <c r="AA11" s="24">
        <f>Kasstromenoverzicht!AA9</f>
        <v>-108820.90155809667</v>
      </c>
      <c r="AB11" s="21"/>
    </row>
    <row r="12" spans="1:28" s="4" customFormat="1" ht="12" x14ac:dyDescent="0.2">
      <c r="A12" s="25" t="str">
        <f>Parameters!A17</f>
        <v>Jaarlijkse kosten passieve netwerk</v>
      </c>
      <c r="B12" s="24">
        <f>Kasstromenoverzicht!B10</f>
        <v>0</v>
      </c>
      <c r="C12" s="24">
        <f>Kasstromenoverzicht!C10</f>
        <v>-22837.499999999996</v>
      </c>
      <c r="D12" s="24">
        <f>Kasstromenoverzicht!D10</f>
        <v>-23180.062499999993</v>
      </c>
      <c r="E12" s="24">
        <f>Kasstromenoverzicht!E10</f>
        <v>-23527.763437499991</v>
      </c>
      <c r="F12" s="24">
        <f>Kasstromenoverzicht!F10</f>
        <v>-23880.679889062489</v>
      </c>
      <c r="G12" s="24">
        <f>Kasstromenoverzicht!G10</f>
        <v>-24238.89008739842</v>
      </c>
      <c r="H12" s="24">
        <f>Kasstromenoverzicht!H10</f>
        <v>-24602.473438709392</v>
      </c>
      <c r="I12" s="24">
        <f>Kasstromenoverzicht!I10</f>
        <v>-24971.51054029003</v>
      </c>
      <c r="J12" s="24">
        <f>Kasstromenoverzicht!J10</f>
        <v>-25346.083198394379</v>
      </c>
      <c r="K12" s="24">
        <f>Kasstromenoverzicht!K10</f>
        <v>-25726.274446370291</v>
      </c>
      <c r="L12" s="24">
        <f>Kasstromenoverzicht!L10</f>
        <v>-26112.168563065843</v>
      </c>
      <c r="M12" s="24">
        <f>Kasstromenoverzicht!M10</f>
        <v>-26503.851091511828</v>
      </c>
      <c r="N12" s="24">
        <f>Kasstromenoverzicht!N10</f>
        <v>-26901.408857884497</v>
      </c>
      <c r="O12" s="24">
        <f>Kasstromenoverzicht!O10</f>
        <v>-27304.929990752764</v>
      </c>
      <c r="P12" s="24">
        <f>Kasstromenoverzicht!P10</f>
        <v>-27714.503940614049</v>
      </c>
      <c r="Q12" s="24">
        <f>Kasstromenoverzicht!Q10</f>
        <v>-28130.221499723255</v>
      </c>
      <c r="R12" s="24">
        <f>Kasstromenoverzicht!R10</f>
        <v>-28552.174822219102</v>
      </c>
      <c r="S12" s="24">
        <f>Kasstromenoverzicht!S10</f>
        <v>-28980.457444552383</v>
      </c>
      <c r="T12" s="24">
        <f>Kasstromenoverzicht!T10</f>
        <v>-29415.164306220668</v>
      </c>
      <c r="U12" s="24">
        <f>Kasstromenoverzicht!U10</f>
        <v>-29856.391770813974</v>
      </c>
      <c r="V12" s="24">
        <f>Kasstromenoverzicht!V10</f>
        <v>-30304.237647376176</v>
      </c>
      <c r="W12" s="24">
        <f>Kasstromenoverzicht!W10</f>
        <v>-30758.801212086815</v>
      </c>
      <c r="X12" s="24">
        <f>Kasstromenoverzicht!X10</f>
        <v>-31220.18323026811</v>
      </c>
      <c r="Y12" s="24">
        <f>Kasstromenoverzicht!Y10</f>
        <v>-31688.485978722128</v>
      </c>
      <c r="Z12" s="24">
        <f>Kasstromenoverzicht!Z10</f>
        <v>-32163.813268402955</v>
      </c>
      <c r="AA12" s="24">
        <f>Kasstromenoverzicht!AA10</f>
        <v>-32646.270467429</v>
      </c>
      <c r="AB12" s="21"/>
    </row>
    <row r="13" spans="1:28" s="56" customFormat="1" ht="12" x14ac:dyDescent="0.2">
      <c r="A13" s="25" t="s">
        <v>382</v>
      </c>
      <c r="B13" s="58">
        <f>Kasstromenoverzicht!B11</f>
        <v>0</v>
      </c>
      <c r="C13" s="58">
        <f>Kasstromenoverzicht!C11</f>
        <v>-10149.999999999998</v>
      </c>
      <c r="D13" s="58">
        <f>Kasstromenoverzicht!D11</f>
        <v>-10302.249999999996</v>
      </c>
      <c r="E13" s="58">
        <f>Kasstromenoverzicht!E11</f>
        <v>-10456.783749999997</v>
      </c>
      <c r="F13" s="58">
        <f>Kasstromenoverzicht!F11</f>
        <v>-10613.635506249995</v>
      </c>
      <c r="G13" s="58">
        <f>Kasstromenoverzicht!G11</f>
        <v>-10772.840038843742</v>
      </c>
      <c r="H13" s="58">
        <f>Kasstromenoverzicht!H11</f>
        <v>-10934.432639426397</v>
      </c>
      <c r="I13" s="58">
        <f>Kasstromenoverzicht!I11</f>
        <v>-11098.44912901779</v>
      </c>
      <c r="J13" s="58">
        <f>Kasstromenoverzicht!J11</f>
        <v>-11264.925865953057</v>
      </c>
      <c r="K13" s="58">
        <f>Kasstromenoverzicht!K11</f>
        <v>-11433.899753942351</v>
      </c>
      <c r="L13" s="58">
        <f>Kasstromenoverzicht!L11</f>
        <v>-11605.408250251485</v>
      </c>
      <c r="M13" s="58">
        <f>Kasstromenoverzicht!M11</f>
        <v>-11779.489374005256</v>
      </c>
      <c r="N13" s="58">
        <f>Kasstromenoverzicht!N11</f>
        <v>-11956.181714615333</v>
      </c>
      <c r="O13" s="58">
        <f>Kasstromenoverzicht!O11</f>
        <v>-12135.524440334562</v>
      </c>
      <c r="P13" s="58">
        <f>Kasstromenoverzicht!P11</f>
        <v>-12317.557306939578</v>
      </c>
      <c r="Q13" s="58">
        <f>Kasstromenoverzicht!Q11</f>
        <v>-12502.32066654367</v>
      </c>
      <c r="R13" s="58">
        <f>Kasstromenoverzicht!R11</f>
        <v>-12689.855476541823</v>
      </c>
      <c r="S13" s="58">
        <f>Kasstromenoverzicht!S11</f>
        <v>-12880.203308689948</v>
      </c>
      <c r="T13" s="58">
        <f>Kasstromenoverzicht!T11</f>
        <v>-13073.406358320297</v>
      </c>
      <c r="U13" s="58">
        <f>Kasstromenoverzicht!U11</f>
        <v>-13269.5074536951</v>
      </c>
      <c r="V13" s="58">
        <f>Kasstromenoverzicht!V11</f>
        <v>-13468.550065500522</v>
      </c>
      <c r="W13" s="58">
        <f>Kasstromenoverzicht!W11</f>
        <v>-13670.578316483028</v>
      </c>
      <c r="X13" s="58">
        <f>Kasstromenoverzicht!X11</f>
        <v>-13875.636991230271</v>
      </c>
      <c r="Y13" s="58">
        <f>Kasstromenoverzicht!Y11</f>
        <v>-14083.771546098724</v>
      </c>
      <c r="Z13" s="58">
        <f>Kasstromenoverzicht!Z11</f>
        <v>-14295.028119290202</v>
      </c>
      <c r="AA13" s="58">
        <f>Kasstromenoverzicht!AA11</f>
        <v>-14509.453541079556</v>
      </c>
      <c r="AB13" s="57"/>
    </row>
    <row r="14" spans="1:28" s="4" customFormat="1" ht="12" x14ac:dyDescent="0.2">
      <c r="A14" s="21" t="str">
        <f>Parameters!A14</f>
        <v>Kosten voor proces bij opzetten organisatie</v>
      </c>
      <c r="B14" s="24">
        <f>Kasstromenoverzicht!B12</f>
        <v>-75000</v>
      </c>
      <c r="C14" s="24">
        <f>Kasstromenoverzicht!C12</f>
        <v>0</v>
      </c>
      <c r="D14" s="24">
        <f>Kasstromenoverzicht!D12</f>
        <v>0</v>
      </c>
      <c r="E14" s="24">
        <f>Kasstromenoverzicht!E12</f>
        <v>0</v>
      </c>
      <c r="F14" s="24">
        <f>Kasstromenoverzicht!F12</f>
        <v>0</v>
      </c>
      <c r="G14" s="24">
        <f>Kasstromenoverzicht!G12</f>
        <v>0</v>
      </c>
      <c r="H14" s="24">
        <f>Kasstromenoverzicht!H12</f>
        <v>0</v>
      </c>
      <c r="I14" s="24">
        <f>Kasstromenoverzicht!I12</f>
        <v>0</v>
      </c>
      <c r="J14" s="24">
        <f>Kasstromenoverzicht!J12</f>
        <v>0</v>
      </c>
      <c r="K14" s="24">
        <f>Kasstromenoverzicht!K12</f>
        <v>0</v>
      </c>
      <c r="L14" s="24">
        <f>Kasstromenoverzicht!L12</f>
        <v>0</v>
      </c>
      <c r="M14" s="24">
        <f>Kasstromenoverzicht!M12</f>
        <v>0</v>
      </c>
      <c r="N14" s="24">
        <f>Kasstromenoverzicht!N12</f>
        <v>0</v>
      </c>
      <c r="O14" s="24">
        <f>Kasstromenoverzicht!O12</f>
        <v>0</v>
      </c>
      <c r="P14" s="24">
        <f>Kasstromenoverzicht!P12</f>
        <v>0</v>
      </c>
      <c r="Q14" s="24">
        <f>Kasstromenoverzicht!Q12</f>
        <v>0</v>
      </c>
      <c r="R14" s="24">
        <f>Kasstromenoverzicht!R12</f>
        <v>0</v>
      </c>
      <c r="S14" s="24">
        <f>Kasstromenoverzicht!S12</f>
        <v>0</v>
      </c>
      <c r="T14" s="24">
        <f>Kasstromenoverzicht!T12</f>
        <v>0</v>
      </c>
      <c r="U14" s="24">
        <f>Kasstromenoverzicht!U12</f>
        <v>0</v>
      </c>
      <c r="V14" s="24">
        <f>Kasstromenoverzicht!V12</f>
        <v>0</v>
      </c>
      <c r="W14" s="24">
        <f>Kasstromenoverzicht!W12</f>
        <v>0</v>
      </c>
      <c r="X14" s="24">
        <f>Kasstromenoverzicht!X12</f>
        <v>0</v>
      </c>
      <c r="Y14" s="24">
        <f>Kasstromenoverzicht!Y12</f>
        <v>0</v>
      </c>
      <c r="Z14" s="24">
        <f>Kasstromenoverzicht!Z12</f>
        <v>0</v>
      </c>
      <c r="AA14" s="24">
        <f>Kasstromenoverzicht!AA12</f>
        <v>0</v>
      </c>
      <c r="AB14" s="21"/>
    </row>
    <row r="15" spans="1:28" s="4" customFormat="1" ht="12" x14ac:dyDescent="0.2">
      <c r="A15" s="21" t="s">
        <v>42</v>
      </c>
      <c r="B15" s="24">
        <v>0</v>
      </c>
      <c r="C15" s="24">
        <f t="shared" ref="C15:AA15" si="1">IF(C2&lt;=gen_afs_termijn,-(kost_netwerk*pen_aantal-subsidie)/gen_afs_termijn,0)</f>
        <v>-300000</v>
      </c>
      <c r="D15" s="24">
        <f t="shared" si="1"/>
        <v>-300000</v>
      </c>
      <c r="E15" s="24">
        <f t="shared" si="1"/>
        <v>-300000</v>
      </c>
      <c r="F15" s="24">
        <f t="shared" si="1"/>
        <v>-300000</v>
      </c>
      <c r="G15" s="24">
        <f t="shared" si="1"/>
        <v>-300000</v>
      </c>
      <c r="H15" s="24">
        <f t="shared" si="1"/>
        <v>-300000</v>
      </c>
      <c r="I15" s="24">
        <f t="shared" si="1"/>
        <v>-300000</v>
      </c>
      <c r="J15" s="24">
        <f t="shared" si="1"/>
        <v>-300000</v>
      </c>
      <c r="K15" s="24">
        <f t="shared" si="1"/>
        <v>-300000</v>
      </c>
      <c r="L15" s="24">
        <f t="shared" si="1"/>
        <v>-300000</v>
      </c>
      <c r="M15" s="24">
        <f t="shared" si="1"/>
        <v>-300000</v>
      </c>
      <c r="N15" s="24">
        <f t="shared" si="1"/>
        <v>-300000</v>
      </c>
      <c r="O15" s="24">
        <f t="shared" si="1"/>
        <v>-300000</v>
      </c>
      <c r="P15" s="24">
        <f t="shared" si="1"/>
        <v>-300000</v>
      </c>
      <c r="Q15" s="24">
        <f t="shared" si="1"/>
        <v>-300000</v>
      </c>
      <c r="R15" s="24">
        <f t="shared" si="1"/>
        <v>-300000</v>
      </c>
      <c r="S15" s="24">
        <f t="shared" si="1"/>
        <v>-300000</v>
      </c>
      <c r="T15" s="24">
        <f t="shared" si="1"/>
        <v>-300000</v>
      </c>
      <c r="U15" s="24">
        <f t="shared" si="1"/>
        <v>-300000</v>
      </c>
      <c r="V15" s="24">
        <f t="shared" si="1"/>
        <v>-300000</v>
      </c>
      <c r="W15" s="24">
        <f t="shared" si="1"/>
        <v>-300000</v>
      </c>
      <c r="X15" s="24">
        <f t="shared" si="1"/>
        <v>-300000</v>
      </c>
      <c r="Y15" s="24">
        <f t="shared" si="1"/>
        <v>-300000</v>
      </c>
      <c r="Z15" s="24">
        <f t="shared" si="1"/>
        <v>-300000</v>
      </c>
      <c r="AA15" s="24">
        <f t="shared" si="1"/>
        <v>-300000</v>
      </c>
      <c r="AB15" s="21"/>
    </row>
    <row r="16" spans="1:28" s="4" customFormat="1" ht="12" x14ac:dyDescent="0.2">
      <c r="A16" s="21" t="str">
        <f>A7</f>
        <v>Andere operationale activiteiten</v>
      </c>
      <c r="B16" s="24">
        <f>IF(Kasstromenoverzicht!B13&lt;0,Kasstromenoverzicht!B13,0)</f>
        <v>0</v>
      </c>
      <c r="C16" s="24">
        <f>IF(Kasstromenoverzicht!C13&lt;0,Kasstromenoverzicht!C13,0)</f>
        <v>0</v>
      </c>
      <c r="D16" s="24">
        <f>IF(Kasstromenoverzicht!D13&lt;0,Kasstromenoverzicht!D13,0)</f>
        <v>0</v>
      </c>
      <c r="E16" s="24">
        <f>IF(Kasstromenoverzicht!E13&lt;0,Kasstromenoverzicht!E13,0)</f>
        <v>0</v>
      </c>
      <c r="F16" s="24">
        <f>IF(Kasstromenoverzicht!F13&lt;0,Kasstromenoverzicht!F13,0)</f>
        <v>0</v>
      </c>
      <c r="G16" s="24">
        <f>IF(Kasstromenoverzicht!G13&lt;0,Kasstromenoverzicht!G13,0)</f>
        <v>0</v>
      </c>
      <c r="H16" s="24">
        <f>IF(Kasstromenoverzicht!H13&lt;0,Kasstromenoverzicht!H13,0)</f>
        <v>0</v>
      </c>
      <c r="I16" s="24">
        <f>IF(Kasstromenoverzicht!I13&lt;0,Kasstromenoverzicht!I13,0)</f>
        <v>0</v>
      </c>
      <c r="J16" s="24">
        <f>IF(Kasstromenoverzicht!J13&lt;0,Kasstromenoverzicht!J13,0)</f>
        <v>0</v>
      </c>
      <c r="K16" s="24">
        <f>IF(Kasstromenoverzicht!K13&lt;0,Kasstromenoverzicht!K13,0)</f>
        <v>0</v>
      </c>
      <c r="L16" s="24">
        <f>IF(Kasstromenoverzicht!L13&lt;0,Kasstromenoverzicht!L13,0)</f>
        <v>0</v>
      </c>
      <c r="M16" s="24">
        <f>IF(Kasstromenoverzicht!M13&lt;0,Kasstromenoverzicht!M13,0)</f>
        <v>0</v>
      </c>
      <c r="N16" s="24">
        <f>IF(Kasstromenoverzicht!N13&lt;0,Kasstromenoverzicht!N13,0)</f>
        <v>0</v>
      </c>
      <c r="O16" s="24">
        <f>IF(Kasstromenoverzicht!O13&lt;0,Kasstromenoverzicht!O13,0)</f>
        <v>0</v>
      </c>
      <c r="P16" s="24">
        <f>IF(Kasstromenoverzicht!P13&lt;0,Kasstromenoverzicht!P13,0)</f>
        <v>0</v>
      </c>
      <c r="Q16" s="24">
        <f>IF(Kasstromenoverzicht!Q13&lt;0,Kasstromenoverzicht!Q13,0)</f>
        <v>0</v>
      </c>
      <c r="R16" s="24">
        <f>IF(Kasstromenoverzicht!R13&lt;0,Kasstromenoverzicht!R13,0)</f>
        <v>0</v>
      </c>
      <c r="S16" s="24">
        <f>IF(Kasstromenoverzicht!S13&lt;0,Kasstromenoverzicht!S13,0)</f>
        <v>0</v>
      </c>
      <c r="T16" s="24">
        <f>IF(Kasstromenoverzicht!T13&lt;0,Kasstromenoverzicht!T13,0)</f>
        <v>0</v>
      </c>
      <c r="U16" s="24">
        <f>IF(Kasstromenoverzicht!U13&lt;0,Kasstromenoverzicht!U13,0)</f>
        <v>0</v>
      </c>
      <c r="V16" s="24">
        <f>IF(Kasstromenoverzicht!V13&lt;0,Kasstromenoverzicht!V13,0)</f>
        <v>0</v>
      </c>
      <c r="W16" s="24">
        <f>IF(Kasstromenoverzicht!W13&lt;0,Kasstromenoverzicht!W13,0)</f>
        <v>0</v>
      </c>
      <c r="X16" s="24">
        <f>IF(Kasstromenoverzicht!X13&lt;0,Kasstromenoverzicht!X13,0)</f>
        <v>0</v>
      </c>
      <c r="Y16" s="24">
        <f>IF(Kasstromenoverzicht!Y13&lt;0,Kasstromenoverzicht!Y13,0)</f>
        <v>0</v>
      </c>
      <c r="Z16" s="24">
        <f>IF(Kasstromenoverzicht!Z13&lt;0,Kasstromenoverzicht!Z13,0)</f>
        <v>0</v>
      </c>
      <c r="AA16" s="24">
        <f>IF(Kasstromenoverzicht!AA13&lt;0,Kasstromenoverzicht!AA13,0)</f>
        <v>0</v>
      </c>
      <c r="AB16" s="21"/>
    </row>
    <row r="17" spans="1:28" s="4" customFormat="1" ht="12.75" thickBot="1" x14ac:dyDescent="0.25">
      <c r="A17" s="18" t="s">
        <v>58</v>
      </c>
      <c r="B17" s="54">
        <f>SUM(B11:B16)</f>
        <v>-75000</v>
      </c>
      <c r="C17" s="54">
        <f t="shared" ref="C17:AA17" si="2">SUM(C11:C16)</f>
        <v>-409112.5</v>
      </c>
      <c r="D17" s="54">
        <f t="shared" si="2"/>
        <v>-410749.1875</v>
      </c>
      <c r="E17" s="54">
        <f t="shared" si="2"/>
        <v>-412410.42531249998</v>
      </c>
      <c r="F17" s="54">
        <f t="shared" si="2"/>
        <v>-414096.58169218746</v>
      </c>
      <c r="G17" s="54">
        <f t="shared" si="2"/>
        <v>-415808.03041757026</v>
      </c>
      <c r="H17" s="54">
        <f t="shared" si="2"/>
        <v>-417545.15087383374</v>
      </c>
      <c r="I17" s="54">
        <f t="shared" si="2"/>
        <v>-419308.3281369413</v>
      </c>
      <c r="J17" s="54">
        <f t="shared" si="2"/>
        <v>-421097.95305899536</v>
      </c>
      <c r="K17" s="54">
        <f t="shared" si="2"/>
        <v>-422914.42235488025</v>
      </c>
      <c r="L17" s="54">
        <f t="shared" si="2"/>
        <v>-424758.13869020349</v>
      </c>
      <c r="M17" s="54">
        <f t="shared" si="2"/>
        <v>-426629.51077055652</v>
      </c>
      <c r="N17" s="54">
        <f t="shared" si="2"/>
        <v>-428528.95343211479</v>
      </c>
      <c r="O17" s="54">
        <f t="shared" si="2"/>
        <v>-430456.88773359655</v>
      </c>
      <c r="P17" s="54">
        <f t="shared" si="2"/>
        <v>-432413.74104960047</v>
      </c>
      <c r="Q17" s="54">
        <f t="shared" si="2"/>
        <v>-434399.94716534443</v>
      </c>
      <c r="R17" s="54">
        <f t="shared" si="2"/>
        <v>-436415.9463728246</v>
      </c>
      <c r="S17" s="54">
        <f t="shared" si="2"/>
        <v>-438462.18556841696</v>
      </c>
      <c r="T17" s="54">
        <f t="shared" si="2"/>
        <v>-440539.11835194321</v>
      </c>
      <c r="U17" s="54">
        <f t="shared" si="2"/>
        <v>-442647.20512722235</v>
      </c>
      <c r="V17" s="54">
        <f t="shared" si="2"/>
        <v>-444786.9132041306</v>
      </c>
      <c r="W17" s="54">
        <f t="shared" si="2"/>
        <v>-446958.71690219257</v>
      </c>
      <c r="X17" s="54">
        <f t="shared" si="2"/>
        <v>-449163.09765572543</v>
      </c>
      <c r="Y17" s="54">
        <f t="shared" si="2"/>
        <v>-451400.54412056127</v>
      </c>
      <c r="Z17" s="54">
        <f t="shared" si="2"/>
        <v>-453671.5522823697</v>
      </c>
      <c r="AA17" s="54">
        <f t="shared" si="2"/>
        <v>-455976.62556660525</v>
      </c>
      <c r="AB17" s="21"/>
    </row>
    <row r="18" spans="1:28" s="4" customFormat="1" ht="12" x14ac:dyDescent="0.2">
      <c r="A18" s="21"/>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1"/>
    </row>
    <row r="19" spans="1:28" s="10" customFormat="1" ht="12" x14ac:dyDescent="0.2">
      <c r="A19" s="7" t="s">
        <v>44</v>
      </c>
      <c r="B19" s="8"/>
      <c r="C19" s="8"/>
      <c r="D19" s="8"/>
      <c r="E19" s="8"/>
      <c r="F19" s="8"/>
      <c r="G19" s="8"/>
      <c r="H19" s="8"/>
      <c r="I19" s="8"/>
      <c r="J19" s="8"/>
      <c r="K19" s="8"/>
      <c r="L19" s="9"/>
      <c r="M19" s="9"/>
      <c r="N19" s="9"/>
      <c r="O19" s="9"/>
      <c r="P19" s="9"/>
      <c r="Q19" s="9"/>
      <c r="R19" s="9"/>
      <c r="S19" s="9"/>
      <c r="T19" s="9"/>
      <c r="U19" s="9"/>
      <c r="V19" s="9"/>
      <c r="W19" s="9"/>
      <c r="X19" s="9"/>
      <c r="Y19" s="9"/>
      <c r="Z19" s="9"/>
      <c r="AA19" s="9"/>
      <c r="AB19" s="21"/>
    </row>
    <row r="20" spans="1:28" s="4" customFormat="1" ht="12" x14ac:dyDescent="0.2">
      <c r="A20" s="21" t="s">
        <v>54</v>
      </c>
      <c r="B20" s="24">
        <f>Financiering!B41</f>
        <v>0</v>
      </c>
      <c r="C20" s="24">
        <f>Financiering!C41</f>
        <v>-81000</v>
      </c>
      <c r="D20" s="24">
        <f>Financiering!D41</f>
        <v>-81000</v>
      </c>
      <c r="E20" s="24">
        <f>Financiering!E41</f>
        <v>-81000</v>
      </c>
      <c r="F20" s="24">
        <f>Financiering!F41</f>
        <v>-76941.675170854782</v>
      </c>
      <c r="G20" s="24">
        <f>Financiering!G41</f>
        <v>-72834.65044375982</v>
      </c>
      <c r="H20" s="24">
        <f>Financiering!H41</f>
        <v>-68678.341419939723</v>
      </c>
      <c r="I20" s="24">
        <f>Financiering!I41</f>
        <v>-64472.156687833762</v>
      </c>
      <c r="J20" s="24">
        <f>Financiering!J41</f>
        <v>-60215.497738942548</v>
      </c>
      <c r="K20" s="24">
        <f>Financiering!K41</f>
        <v>-55907.758882664639</v>
      </c>
      <c r="L20" s="24">
        <f>Financiering!L41</f>
        <v>-51548.327160111388</v>
      </c>
      <c r="M20" s="24">
        <f>Financiering!M41</f>
        <v>-47136.582256887501</v>
      </c>
      <c r="N20" s="24">
        <f>Financiering!N41</f>
        <v>-42671.896414824929</v>
      </c>
      <c r="O20" s="24">
        <f>Financiering!O41</f>
        <v>-38153.634342657606</v>
      </c>
      <c r="P20" s="24">
        <f>Financiering!P41</f>
        <v>-33581.153125624274</v>
      </c>
      <c r="Q20" s="24">
        <f>Financiering!Q41</f>
        <v>-28953.802133986541</v>
      </c>
      <c r="R20" s="24">
        <f>Financiering!R41</f>
        <v>-24270.922930449156</v>
      </c>
      <c r="S20" s="24">
        <f>Financiering!S41</f>
        <v>-19531.849176469324</v>
      </c>
      <c r="T20" s="24">
        <f>Financiering!T41</f>
        <v>-14735.906537441731</v>
      </c>
      <c r="U20" s="24">
        <f>Financiering!U41</f>
        <v>-9882.4125867458079</v>
      </c>
      <c r="V20" s="24">
        <f>Financiering!V41</f>
        <v>-4970.6767086415339</v>
      </c>
      <c r="W20" s="24">
        <f>Financiering!W41</f>
        <v>-9.0803951025009155E-12</v>
      </c>
      <c r="X20" s="24">
        <f>Financiering!X41</f>
        <v>0</v>
      </c>
      <c r="Y20" s="24">
        <f>Financiering!Y41</f>
        <v>0</v>
      </c>
      <c r="Z20" s="24">
        <f>Financiering!Z41</f>
        <v>0</v>
      </c>
      <c r="AA20" s="24">
        <f>Financiering!AA41</f>
        <v>0</v>
      </c>
      <c r="AB20" s="21"/>
    </row>
    <row r="21" spans="1:28" s="4" customFormat="1" ht="12" x14ac:dyDescent="0.2">
      <c r="A21" s="21" t="s">
        <v>35</v>
      </c>
      <c r="B21" s="27">
        <f>Kasstromenoverzicht!B43</f>
        <v>0</v>
      </c>
      <c r="C21" s="27">
        <f>Kasstromenoverzicht!C43</f>
        <v>259.71074380165339</v>
      </c>
      <c r="D21" s="27">
        <f>Kasstromenoverzicht!D43</f>
        <v>555.90084710743861</v>
      </c>
      <c r="E21" s="27">
        <f>Kasstromenoverzicht!E43</f>
        <v>860.38860979338926</v>
      </c>
      <c r="F21" s="27">
        <f>Kasstromenoverzicht!F43</f>
        <v>826.82994601495432</v>
      </c>
      <c r="G21" s="27">
        <f>Kasstromenoverzicht!G43</f>
        <v>796.83124275041484</v>
      </c>
      <c r="H21" s="27">
        <f>Kasstromenoverzicht!H43</f>
        <v>771.59818817534972</v>
      </c>
      <c r="I21" s="27">
        <f>Kasstromenoverzicht!I43</f>
        <v>750.95993597342249</v>
      </c>
      <c r="J21" s="27">
        <f>Kasstromenoverzicht!J43</f>
        <v>734.74341072000709</v>
      </c>
      <c r="K21" s="27">
        <f>Kasstromenoverzicht!K43</f>
        <v>722.78165806139134</v>
      </c>
      <c r="L21" s="27">
        <f>Kasstromenoverzicht!L43</f>
        <v>714.91351409050253</v>
      </c>
      <c r="M21" s="27">
        <f>Kasstromenoverzicht!M43</f>
        <v>710.98326456590576</v>
      </c>
      <c r="N21" s="27">
        <f>Kasstromenoverzicht!N43</f>
        <v>710.84028691633011</v>
      </c>
      <c r="O21" s="27">
        <f>Kasstromenoverzicht!O43</f>
        <v>714.33866513132227</v>
      </c>
      <c r="P21" s="27">
        <f>Kasstromenoverzicht!P43</f>
        <v>721.33676325852798</v>
      </c>
      <c r="Q21" s="27">
        <f>Kasstromenoverzicht!Q43</f>
        <v>731.69673628471355</v>
      </c>
      <c r="R21" s="27">
        <f>Kasstromenoverzicht!R43</f>
        <v>745.28394580764905</v>
      </c>
      <c r="S21" s="27">
        <f>Kasstromenoverzicht!S43</f>
        <v>761.41153994094122</v>
      </c>
      <c r="T21" s="27">
        <f>Kasstromenoverzicht!T43</f>
        <v>779.80087296756506</v>
      </c>
      <c r="U21" s="27">
        <f>Kasstromenoverzicht!U43</f>
        <v>800.32002998258497</v>
      </c>
      <c r="V21" s="27">
        <f>Kasstromenoverzicht!V43</f>
        <v>822.83286240608345</v>
      </c>
      <c r="W21" s="27">
        <f>Kasstromenoverzicht!W43</f>
        <v>847.19479500410955</v>
      </c>
      <c r="X21" s="27">
        <f>Kasstromenoverzicht!X43</f>
        <v>1180.8331471455365</v>
      </c>
      <c r="Y21" s="27">
        <f>Kasstromenoverzicht!Y43</f>
        <v>1513.8270817732164</v>
      </c>
      <c r="Z21" s="27">
        <f>Kasstromenoverzicht!Z43</f>
        <v>1845.9565088981926</v>
      </c>
      <c r="AA21" s="27">
        <f>Kasstromenoverzicht!AA43</f>
        <v>2176.8746910573914</v>
      </c>
      <c r="AB21" s="21"/>
    </row>
    <row r="22" spans="1:28" s="4" customFormat="1" ht="12.75" thickBot="1" x14ac:dyDescent="0.25">
      <c r="A22" s="18" t="s">
        <v>59</v>
      </c>
      <c r="B22" s="19">
        <f t="shared" ref="B22:AA22" si="3">SUM(B20:B21)</f>
        <v>0</v>
      </c>
      <c r="C22" s="54">
        <f t="shared" si="3"/>
        <v>-80740.289256198346</v>
      </c>
      <c r="D22" s="54">
        <f t="shared" si="3"/>
        <v>-80444.099152892566</v>
      </c>
      <c r="E22" s="54">
        <f t="shared" si="3"/>
        <v>-80139.611390206614</v>
      </c>
      <c r="F22" s="54">
        <f t="shared" si="3"/>
        <v>-76114.845224839824</v>
      </c>
      <c r="G22" s="54">
        <f t="shared" si="3"/>
        <v>-72037.819201009406</v>
      </c>
      <c r="H22" s="54">
        <f t="shared" si="3"/>
        <v>-67906.743231764369</v>
      </c>
      <c r="I22" s="54">
        <f t="shared" si="3"/>
        <v>-63721.196751860341</v>
      </c>
      <c r="J22" s="54">
        <f t="shared" si="3"/>
        <v>-59480.754328222538</v>
      </c>
      <c r="K22" s="54">
        <f t="shared" si="3"/>
        <v>-55184.977224603244</v>
      </c>
      <c r="L22" s="54">
        <f t="shared" si="3"/>
        <v>-50833.413646020883</v>
      </c>
      <c r="M22" s="54">
        <f t="shared" si="3"/>
        <v>-46425.598992321597</v>
      </c>
      <c r="N22" s="54">
        <f t="shared" si="3"/>
        <v>-41961.056127908596</v>
      </c>
      <c r="O22" s="54">
        <f t="shared" si="3"/>
        <v>-37439.295677526286</v>
      </c>
      <c r="P22" s="54">
        <f t="shared" si="3"/>
        <v>-32859.816362365746</v>
      </c>
      <c r="Q22" s="54">
        <f t="shared" si="3"/>
        <v>-28222.105397701827</v>
      </c>
      <c r="R22" s="54">
        <f t="shared" si="3"/>
        <v>-23525.638984641508</v>
      </c>
      <c r="S22" s="54">
        <f t="shared" si="3"/>
        <v>-18770.437636528382</v>
      </c>
      <c r="T22" s="54">
        <f t="shared" si="3"/>
        <v>-13956.105664474166</v>
      </c>
      <c r="U22" s="54">
        <f t="shared" si="3"/>
        <v>-9082.0925567632221</v>
      </c>
      <c r="V22" s="54">
        <f t="shared" si="3"/>
        <v>-4147.8438462354507</v>
      </c>
      <c r="W22" s="54">
        <f t="shared" si="3"/>
        <v>847.19479500410046</v>
      </c>
      <c r="X22" s="54">
        <f t="shared" si="3"/>
        <v>1180.8331471455365</v>
      </c>
      <c r="Y22" s="54">
        <f t="shared" si="3"/>
        <v>1513.8270817732164</v>
      </c>
      <c r="Z22" s="54">
        <f t="shared" si="3"/>
        <v>1845.9565088981926</v>
      </c>
      <c r="AA22" s="54">
        <f t="shared" si="3"/>
        <v>2176.8746910573914</v>
      </c>
      <c r="AB22" s="21"/>
    </row>
    <row r="23" spans="1:28"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row>
    <row r="24" spans="1:28" s="4" customFormat="1" ht="12" hidden="1" x14ac:dyDescent="0.2">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21"/>
    </row>
    <row r="25" spans="1:28" s="4" customFormat="1" ht="4.5" hidden="1" customHeight="1" x14ac:dyDescent="0.2">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21"/>
    </row>
    <row r="26" spans="1:28" s="4" customFormat="1" ht="12" x14ac:dyDescent="0.2">
      <c r="A26" s="7" t="s">
        <v>45</v>
      </c>
      <c r="B26" s="8">
        <f>B22+B17+B8</f>
        <v>-75000</v>
      </c>
      <c r="C26" s="11">
        <f t="shared" ref="C26:AA26" si="4">C22+C17+C8</f>
        <v>28731.425619834743</v>
      </c>
      <c r="D26" s="11">
        <f t="shared" si="4"/>
        <v>38981.564338842989</v>
      </c>
      <c r="E26" s="11">
        <f t="shared" si="4"/>
        <v>48912.002338268561</v>
      </c>
      <c r="F26" s="11">
        <f t="shared" si="4"/>
        <v>62248.079140206741</v>
      </c>
      <c r="G26" s="11">
        <f t="shared" si="4"/>
        <v>75334.625037613616</v>
      </c>
      <c r="H26" s="11">
        <f t="shared" si="4"/>
        <v>88185.789243632578</v>
      </c>
      <c r="I26" s="11">
        <f t="shared" si="4"/>
        <v>100860.43083050195</v>
      </c>
      <c r="J26" s="11">
        <f t="shared" si="4"/>
        <v>113371.65379110503</v>
      </c>
      <c r="K26" s="11">
        <f t="shared" si="4"/>
        <v>125732.61052209587</v>
      </c>
      <c r="L26" s="11">
        <f t="shared" si="4"/>
        <v>137956.62184773176</v>
      </c>
      <c r="M26" s="11">
        <f t="shared" si="4"/>
        <v>150057.33145898086</v>
      </c>
      <c r="N26" s="11">
        <f t="shared" si="4"/>
        <v>162048.90979312832</v>
      </c>
      <c r="O26" s="11">
        <f t="shared" si="4"/>
        <v>173946.33045690105</v>
      </c>
      <c r="P26" s="11">
        <f t="shared" si="4"/>
        <v>185765.75576016697</v>
      </c>
      <c r="Q26" s="11">
        <f t="shared" si="4"/>
        <v>197525.0911846066</v>
      </c>
      <c r="R26" s="11">
        <f t="shared" si="4"/>
        <v>209244.81047685898</v>
      </c>
      <c r="S26" s="11">
        <f t="shared" si="4"/>
        <v>220948.67744842381</v>
      </c>
      <c r="T26" s="11">
        <f t="shared" si="4"/>
        <v>232666.77418301802</v>
      </c>
      <c r="U26" s="11">
        <f t="shared" si="4"/>
        <v>244438.77594771702</v>
      </c>
      <c r="V26" s="11">
        <f t="shared" si="4"/>
        <v>256320.27425965259</v>
      </c>
      <c r="W26" s="11">
        <f t="shared" si="4"/>
        <v>58586.732023054559</v>
      </c>
      <c r="X26" s="11">
        <f t="shared" si="4"/>
        <v>59885.06722994498</v>
      </c>
      <c r="Y26" s="11">
        <f t="shared" si="4"/>
        <v>61774.981340409024</v>
      </c>
      <c r="Z26" s="11">
        <f t="shared" si="4"/>
        <v>64936.874970478995</v>
      </c>
      <c r="AA26" s="11">
        <f t="shared" si="4"/>
        <v>72086.983638246194</v>
      </c>
      <c r="AB26" s="21"/>
    </row>
    <row r="27" spans="1:28" x14ac:dyDescent="0.25">
      <c r="A27" s="21"/>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1"/>
    </row>
    <row r="28" spans="1:28" s="10" customFormat="1" ht="12" x14ac:dyDescent="0.2">
      <c r="A28" s="7" t="s">
        <v>43</v>
      </c>
      <c r="B28" s="8"/>
      <c r="C28" s="8"/>
      <c r="D28" s="8"/>
      <c r="E28" s="8"/>
      <c r="F28" s="8"/>
      <c r="G28" s="8"/>
      <c r="H28" s="8"/>
      <c r="I28" s="8"/>
      <c r="J28" s="8"/>
      <c r="K28" s="8"/>
      <c r="L28" s="9"/>
      <c r="M28" s="9"/>
      <c r="N28" s="9"/>
      <c r="O28" s="9"/>
      <c r="P28" s="9"/>
      <c r="Q28" s="9"/>
      <c r="R28" s="9"/>
      <c r="S28" s="9"/>
      <c r="T28" s="9"/>
      <c r="U28" s="9"/>
      <c r="V28" s="9"/>
      <c r="W28" s="9"/>
      <c r="X28" s="9"/>
      <c r="Y28" s="9"/>
      <c r="Z28" s="9"/>
      <c r="AA28" s="9"/>
      <c r="AB28" s="21"/>
    </row>
    <row r="29" spans="1:28" s="4" customFormat="1" ht="12" x14ac:dyDescent="0.2">
      <c r="A29" s="21" t="s">
        <v>51</v>
      </c>
      <c r="B29" s="24">
        <f>-Vennnootschapsbelasting!C12</f>
        <v>0</v>
      </c>
      <c r="C29" s="24">
        <f>-Vennnootschapsbelasting!D12</f>
        <v>0</v>
      </c>
      <c r="D29" s="24">
        <f>-Vennnootschapsbelasting!E12</f>
        <v>0</v>
      </c>
      <c r="E29" s="24">
        <f>-Vennnootschapsbelasting!F12</f>
        <v>-7908.7485364197964</v>
      </c>
      <c r="F29" s="24">
        <f>-Vennnootschapsbelasting!G12</f>
        <v>-11827.135036639282</v>
      </c>
      <c r="G29" s="24">
        <f>-Vennnootschapsbelasting!H12</f>
        <v>-14313.578757146588</v>
      </c>
      <c r="H29" s="24">
        <f>-Vennnootschapsbelasting!I12</f>
        <v>-16755.29995629019</v>
      </c>
      <c r="I29" s="24">
        <f>-Vennnootschapsbelasting!J12</f>
        <v>-19163.48185779537</v>
      </c>
      <c r="J29" s="24">
        <f>-Vennnootschapsbelasting!K12</f>
        <v>-21540.614220309955</v>
      </c>
      <c r="K29" s="24">
        <f>-Vennnootschapsbelasting!L12</f>
        <v>-23889.195999198215</v>
      </c>
      <c r="L29" s="24">
        <f>-Vennnootschapsbelasting!M12</f>
        <v>-26211.758151069036</v>
      </c>
      <c r="M29" s="24">
        <f>-Vennnootschapsbelasting!N12</f>
        <v>-28510.892977206364</v>
      </c>
      <c r="N29" s="24">
        <f>-Vennnootschapsbelasting!O12</f>
        <v>-30789.292860694382</v>
      </c>
      <c r="O29" s="24">
        <f>-Vennnootschapsbelasting!P12</f>
        <v>-33049.802786811197</v>
      </c>
      <c r="P29" s="24">
        <f>-Vennnootschapsbelasting!Q12</f>
        <v>-35295.493594431726</v>
      </c>
      <c r="Q29" s="24">
        <f>-Vennnootschapsbelasting!R12</f>
        <v>-37529.767325075256</v>
      </c>
      <c r="R29" s="24">
        <f>-Vennnootschapsbelasting!S12</f>
        <v>-40311.202619214746</v>
      </c>
      <c r="S29" s="24">
        <f>-Vennnootschapsbelasting!T12</f>
        <v>-43237.169362105953</v>
      </c>
      <c r="T29" s="24">
        <f>-Vennnootschapsbelasting!U12</f>
        <v>-46166.693545754504</v>
      </c>
      <c r="U29" s="24">
        <f>-Vennnootschapsbelasting!V12</f>
        <v>-49109.693986929255</v>
      </c>
      <c r="V29" s="24">
        <f>-Vennnootschapsbelasting!W12</f>
        <v>-52080.068564913148</v>
      </c>
      <c r="W29" s="24">
        <f>-Vennnootschapsbelasting!X12</f>
        <v>-11131.479084380366</v>
      </c>
      <c r="X29" s="24">
        <f>-Vennnootschapsbelasting!Y12</f>
        <v>-11378.162773689546</v>
      </c>
      <c r="Y29" s="24">
        <f>-Vennnootschapsbelasting!Z12</f>
        <v>-11737.246454677716</v>
      </c>
      <c r="Z29" s="24">
        <f>-Vennnootschapsbelasting!AA12</f>
        <v>-12338.00624439101</v>
      </c>
      <c r="AA29" s="24">
        <f>-Vennnootschapsbelasting!AB12</f>
        <v>-13696.526891266778</v>
      </c>
      <c r="AB29" s="21"/>
    </row>
    <row r="30" spans="1:28" s="4" customFormat="1" ht="12" x14ac:dyDescent="0.2">
      <c r="A30" s="21" t="s">
        <v>271</v>
      </c>
      <c r="B30" s="24">
        <f>Vennnootschapsbelasting!C9</f>
        <v>0</v>
      </c>
      <c r="C30" s="24">
        <f>Vennnootschapsbelasting!D9</f>
        <v>0</v>
      </c>
      <c r="D30" s="24">
        <f>Vennnootschapsbelasting!E9</f>
        <v>0</v>
      </c>
      <c r="E30" s="24">
        <f>Vennnootschapsbelasting!F9</f>
        <v>0</v>
      </c>
      <c r="F30" s="24">
        <f>Vennnootschapsbelasting!G9</f>
        <v>0</v>
      </c>
      <c r="G30" s="24">
        <f>Vennnootschapsbelasting!H9</f>
        <v>0</v>
      </c>
      <c r="H30" s="24">
        <f>Vennnootschapsbelasting!I9</f>
        <v>0</v>
      </c>
      <c r="I30" s="24">
        <f>Vennnootschapsbelasting!J9</f>
        <v>0</v>
      </c>
      <c r="J30" s="24">
        <f>Vennnootschapsbelasting!K9</f>
        <v>0</v>
      </c>
      <c r="K30" s="24">
        <f>Vennnootschapsbelasting!L9</f>
        <v>0</v>
      </c>
      <c r="L30" s="24">
        <f>Vennnootschapsbelasting!M9</f>
        <v>0</v>
      </c>
      <c r="M30" s="24">
        <f>Vennnootschapsbelasting!N9</f>
        <v>0</v>
      </c>
      <c r="N30" s="24">
        <f>Vennnootschapsbelasting!O9</f>
        <v>0</v>
      </c>
      <c r="O30" s="24">
        <f>Vennnootschapsbelasting!P9</f>
        <v>0</v>
      </c>
      <c r="P30" s="24">
        <f>Vennnootschapsbelasting!Q9</f>
        <v>0</v>
      </c>
      <c r="Q30" s="24">
        <f>Vennnootschapsbelasting!R9</f>
        <v>0</v>
      </c>
      <c r="R30" s="24">
        <f>Vennnootschapsbelasting!S9</f>
        <v>0</v>
      </c>
      <c r="S30" s="24">
        <f>Vennnootschapsbelasting!T9</f>
        <v>0</v>
      </c>
      <c r="T30" s="24">
        <f>Vennnootschapsbelasting!U9</f>
        <v>0</v>
      </c>
      <c r="U30" s="24">
        <f>Vennnootschapsbelasting!V9</f>
        <v>0</v>
      </c>
      <c r="V30" s="24">
        <f>Vennnootschapsbelasting!W9</f>
        <v>0</v>
      </c>
      <c r="W30" s="24">
        <f>Vennnootschapsbelasting!X9</f>
        <v>0</v>
      </c>
      <c r="X30" s="24">
        <f>Vennnootschapsbelasting!Y9</f>
        <v>0</v>
      </c>
      <c r="Y30" s="24">
        <f>Vennnootschapsbelasting!Z9</f>
        <v>0</v>
      </c>
      <c r="Z30" s="24">
        <f>Vennnootschapsbelasting!AA9</f>
        <v>0</v>
      </c>
      <c r="AA30" s="24">
        <f>Vennnootschapsbelasting!AB9</f>
        <v>0</v>
      </c>
      <c r="AB30" s="21"/>
    </row>
    <row r="31" spans="1:28" s="4" customFormat="1" ht="12" x14ac:dyDescent="0.2">
      <c r="A31" s="21" t="s">
        <v>280</v>
      </c>
      <c r="B31" s="24">
        <f>-Vennnootschapsbelasting!C17</f>
        <v>14250</v>
      </c>
      <c r="C31" s="24">
        <f>-Vennnootschapsbelasting!D17</f>
        <v>-5458.9708677686012</v>
      </c>
      <c r="D31" s="24">
        <f>-Vennnootschapsbelasting!E17</f>
        <v>-7406.4972243801676</v>
      </c>
      <c r="E31" s="24">
        <f>-Vennnootschapsbelasting!F17</f>
        <v>-1384.5319078512312</v>
      </c>
      <c r="F31" s="24">
        <f>-Vennnootschapsbelasting!G17</f>
        <v>0</v>
      </c>
      <c r="G31" s="24">
        <f>-Vennnootschapsbelasting!H17</f>
        <v>0</v>
      </c>
      <c r="H31" s="24">
        <f>-Vennnootschapsbelasting!I17</f>
        <v>0</v>
      </c>
      <c r="I31" s="24">
        <f>-Vennnootschapsbelasting!J17</f>
        <v>0</v>
      </c>
      <c r="J31" s="24">
        <f>-Vennnootschapsbelasting!K17</f>
        <v>0</v>
      </c>
      <c r="K31" s="24">
        <f>-Vennnootschapsbelasting!L17</f>
        <v>0</v>
      </c>
      <c r="L31" s="24">
        <f>-Vennnootschapsbelasting!M17</f>
        <v>0</v>
      </c>
      <c r="M31" s="24">
        <f>-Vennnootschapsbelasting!N17</f>
        <v>0</v>
      </c>
      <c r="N31" s="24">
        <f>-Vennnootschapsbelasting!O17</f>
        <v>0</v>
      </c>
      <c r="O31" s="24">
        <f>-Vennnootschapsbelasting!P17</f>
        <v>0</v>
      </c>
      <c r="P31" s="24">
        <f>-Vennnootschapsbelasting!Q17</f>
        <v>0</v>
      </c>
      <c r="Q31" s="24">
        <f>-Vennnootschapsbelasting!R17</f>
        <v>0</v>
      </c>
      <c r="R31" s="24">
        <f>-Vennnootschapsbelasting!S17</f>
        <v>0</v>
      </c>
      <c r="S31" s="24">
        <f>-Vennnootschapsbelasting!T17</f>
        <v>0</v>
      </c>
      <c r="T31" s="24">
        <f>-Vennnootschapsbelasting!U17</f>
        <v>0</v>
      </c>
      <c r="U31" s="24">
        <f>-Vennnootschapsbelasting!V17</f>
        <v>0</v>
      </c>
      <c r="V31" s="24">
        <f>-Vennnootschapsbelasting!W17</f>
        <v>0</v>
      </c>
      <c r="W31" s="24">
        <f>-Vennnootschapsbelasting!X17</f>
        <v>0</v>
      </c>
      <c r="X31" s="24">
        <f>-Vennnootschapsbelasting!Y17</f>
        <v>0</v>
      </c>
      <c r="Y31" s="24">
        <f>-Vennnootschapsbelasting!Z17</f>
        <v>0</v>
      </c>
      <c r="Z31" s="24">
        <f>-Vennnootschapsbelasting!AA17</f>
        <v>0</v>
      </c>
      <c r="AA31" s="24">
        <f>-Vennnootschapsbelasting!AB17</f>
        <v>0</v>
      </c>
      <c r="AB31" s="21"/>
    </row>
    <row r="32" spans="1:28" s="4" customFormat="1" ht="12" x14ac:dyDescent="0.2">
      <c r="A32" s="7" t="s">
        <v>55</v>
      </c>
      <c r="B32" s="11">
        <f>SUM(B26,B29:B31)</f>
        <v>-60750</v>
      </c>
      <c r="C32" s="11">
        <f>SUM(C26,C29:C31)</f>
        <v>23272.454752066144</v>
      </c>
      <c r="D32" s="11">
        <f>SUM(D26,D29:D31)</f>
        <v>31575.067114462821</v>
      </c>
      <c r="E32" s="11">
        <f t="shared" ref="E32:J32" si="5">SUM(E26,E29:E31)</f>
        <v>39618.721893997536</v>
      </c>
      <c r="F32" s="11">
        <f t="shared" si="5"/>
        <v>50420.944103567461</v>
      </c>
      <c r="G32" s="11">
        <f t="shared" si="5"/>
        <v>61021.046280467024</v>
      </c>
      <c r="H32" s="11">
        <f t="shared" si="5"/>
        <v>71430.489287342381</v>
      </c>
      <c r="I32" s="11">
        <f t="shared" si="5"/>
        <v>81696.948972706581</v>
      </c>
      <c r="J32" s="11">
        <f t="shared" si="5"/>
        <v>91831.039570795067</v>
      </c>
      <c r="K32" s="11">
        <f t="shared" ref="K32:S32" si="6">SUM(K26,K29:K31)</f>
        <v>101843.41452289766</v>
      </c>
      <c r="L32" s="11">
        <f t="shared" si="6"/>
        <v>111744.86369666272</v>
      </c>
      <c r="M32" s="11">
        <f t="shared" si="6"/>
        <v>121546.4384817745</v>
      </c>
      <c r="N32" s="11">
        <f t="shared" si="6"/>
        <v>131259.61693243394</v>
      </c>
      <c r="O32" s="11">
        <f t="shared" si="6"/>
        <v>140896.52767008985</v>
      </c>
      <c r="P32" s="11">
        <f t="shared" si="6"/>
        <v>150470.26216573524</v>
      </c>
      <c r="Q32" s="11">
        <f t="shared" si="6"/>
        <v>159995.32385953135</v>
      </c>
      <c r="R32" s="11">
        <f t="shared" si="6"/>
        <v>168933.60785764424</v>
      </c>
      <c r="S32" s="11">
        <f t="shared" si="6"/>
        <v>177711.50808631786</v>
      </c>
      <c r="T32" s="11">
        <f t="shared" ref="T32" si="7">SUM(T26,T29:T31)</f>
        <v>186500.08063726351</v>
      </c>
      <c r="U32" s="11">
        <f t="shared" ref="U32" si="8">SUM(U26,U29:U31)</f>
        <v>195329.08196078776</v>
      </c>
      <c r="V32" s="11">
        <f t="shared" ref="V32" si="9">SUM(V26,V29:V31)</f>
        <v>204240.20569473944</v>
      </c>
      <c r="W32" s="11">
        <f t="shared" ref="W32" si="10">SUM(W26,W29:W31)</f>
        <v>47455.252938674195</v>
      </c>
      <c r="X32" s="11">
        <f t="shared" ref="X32" si="11">SUM(X26,X29:X31)</f>
        <v>48506.904456255434</v>
      </c>
      <c r="Y32" s="11">
        <f t="shared" ref="Y32" si="12">SUM(Y26,Y29:Y31)</f>
        <v>50037.734885731305</v>
      </c>
      <c r="Z32" s="11">
        <f>SUM(Z26,Z29:Z31)</f>
        <v>52598.868726087981</v>
      </c>
      <c r="AA32" s="11">
        <f>SUM(AA26,AA29:AA31)</f>
        <v>58390.456746979413</v>
      </c>
      <c r="AB32" s="21"/>
    </row>
    <row r="33" spans="1:28" hidden="1" x14ac:dyDescent="0.25">
      <c r="A33" s="7" t="s">
        <v>56</v>
      </c>
      <c r="B33" s="11">
        <f>B32</f>
        <v>-60750</v>
      </c>
      <c r="C33" s="11">
        <f>B33+C32</f>
        <v>-37477.545247933856</v>
      </c>
      <c r="D33" s="11">
        <f t="shared" ref="D33:AA33" si="13">C33+D32</f>
        <v>-5902.4781334710351</v>
      </c>
      <c r="E33" s="11">
        <f t="shared" si="13"/>
        <v>33716.2437605265</v>
      </c>
      <c r="F33" s="11">
        <f t="shared" si="13"/>
        <v>84137.187864093954</v>
      </c>
      <c r="G33" s="11">
        <f t="shared" si="13"/>
        <v>145158.23414456099</v>
      </c>
      <c r="H33" s="11">
        <f t="shared" si="13"/>
        <v>216588.72343190337</v>
      </c>
      <c r="I33" s="11">
        <f t="shared" si="13"/>
        <v>298285.67240460997</v>
      </c>
      <c r="J33" s="11">
        <f t="shared" si="13"/>
        <v>390116.71197540505</v>
      </c>
      <c r="K33" s="11">
        <f t="shared" si="13"/>
        <v>491960.12649830268</v>
      </c>
      <c r="L33" s="11">
        <f t="shared" si="13"/>
        <v>603704.99019496539</v>
      </c>
      <c r="M33" s="11">
        <f t="shared" si="13"/>
        <v>725251.42867673992</v>
      </c>
      <c r="N33" s="11">
        <f t="shared" si="13"/>
        <v>856511.04560917383</v>
      </c>
      <c r="O33" s="11">
        <f t="shared" si="13"/>
        <v>997407.57327926368</v>
      </c>
      <c r="P33" s="11">
        <f t="shared" si="13"/>
        <v>1147877.8354449989</v>
      </c>
      <c r="Q33" s="11">
        <f t="shared" si="13"/>
        <v>1307873.1593045304</v>
      </c>
      <c r="R33" s="11">
        <f t="shared" si="13"/>
        <v>1476806.7671621747</v>
      </c>
      <c r="S33" s="11">
        <f t="shared" si="13"/>
        <v>1654518.2752484926</v>
      </c>
      <c r="T33" s="11">
        <f t="shared" si="13"/>
        <v>1841018.3558857562</v>
      </c>
      <c r="U33" s="11">
        <f t="shared" si="13"/>
        <v>2036347.437846544</v>
      </c>
      <c r="V33" s="11">
        <f t="shared" si="13"/>
        <v>2240587.6435412834</v>
      </c>
      <c r="W33" s="11">
        <f t="shared" si="13"/>
        <v>2288042.8964799577</v>
      </c>
      <c r="X33" s="11">
        <f t="shared" si="13"/>
        <v>2336549.8009362132</v>
      </c>
      <c r="Y33" s="11">
        <f t="shared" si="13"/>
        <v>2386587.5358219445</v>
      </c>
      <c r="Z33" s="11">
        <f t="shared" si="13"/>
        <v>2439186.4045480327</v>
      </c>
      <c r="AA33" s="11">
        <f t="shared" si="13"/>
        <v>2497576.8612950123</v>
      </c>
      <c r="AB33" s="1"/>
    </row>
    <row r="34" spans="1:28" x14ac:dyDescent="0.25">
      <c r="A34" s="1"/>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1"/>
    </row>
    <row r="35" spans="1:28" x14ac:dyDescent="0.25"/>
    <row r="36" spans="1:28" s="55" customFormat="1" x14ac:dyDescent="0.25"/>
    <row r="37" spans="1:28" s="55" customFormat="1" x14ac:dyDescent="0.25"/>
    <row r="38" spans="1:28" s="55" customFormat="1" x14ac:dyDescent="0.25"/>
    <row r="39" spans="1:28" s="55" customFormat="1" x14ac:dyDescent="0.25"/>
    <row r="40" spans="1:28" s="55" customFormat="1" x14ac:dyDescent="0.25"/>
    <row r="41" spans="1:28" s="55" customFormat="1" x14ac:dyDescent="0.25"/>
    <row r="42" spans="1:28" s="55" customFormat="1" x14ac:dyDescent="0.25"/>
    <row r="43" spans="1:28" s="55" customFormat="1" x14ac:dyDescent="0.25"/>
    <row r="44" spans="1:28" s="55" customFormat="1" x14ac:dyDescent="0.25"/>
    <row r="45" spans="1:28" s="55" customFormat="1" x14ac:dyDescent="0.25"/>
    <row r="46" spans="1:28" x14ac:dyDescent="0.2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row>
    <row r="47" spans="1:28" x14ac:dyDescent="0.25">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row>
    <row r="48" spans="1:28" x14ac:dyDescent="0.25">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row>
    <row r="49" spans="1:28" x14ac:dyDescent="0.25">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row>
    <row r="50" spans="1:28" x14ac:dyDescent="0.25">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row>
    <row r="51" spans="1:28" x14ac:dyDescent="0.25">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row>
    <row r="52" spans="1:28"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row>
    <row r="53" spans="1:28" x14ac:dyDescent="0.2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row>
    <row r="54" spans="1:28" x14ac:dyDescent="0.25">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row>
    <row r="55" spans="1:28" x14ac:dyDescent="0.25"/>
    <row r="56" spans="1:28" x14ac:dyDescent="0.25"/>
    <row r="57" spans="1:28" x14ac:dyDescent="0.25"/>
  </sheetData>
  <sheetProtection algorithmName="SHA-512" hashValue="QIuvVmOLKodiFbkNTXvO62ue9T6z3xIZVHkjoIUgDuO+o7V7moz77Vx0h1zmck7FIpNm6qjCc5zZqLK1dX4ICQ==" saltValue="oqV/id17Pzi/tJsNrqzFew==" spinCount="100000" sheet="1" objects="1" scenarios="1"/>
  <conditionalFormatting sqref="L28">
    <cfRule type="colorScale" priority="4">
      <colorScale>
        <cfvo type="min"/>
        <cfvo type="percentile" val="50"/>
        <cfvo type="max"/>
        <color rgb="FF63BE7B"/>
        <color rgb="FFFFEB84"/>
        <color rgb="FFF8696B"/>
      </colorScale>
    </cfRule>
  </conditionalFormatting>
  <conditionalFormatting sqref="A28:AA28 A32:A33">
    <cfRule type="cellIs" dxfId="3" priority="3" operator="lessThan">
      <formula>0</formula>
    </cfRule>
  </conditionalFormatting>
  <pageMargins left="0.7" right="0.7" top="0.75" bottom="0.75" header="0.3" footer="0.3"/>
  <pageSetup paperSize="63" orientation="landscape" r:id="rId1"/>
  <ignoredErrors>
    <ignoredError sqref="B5" formulaRange="1"/>
  </ignoredError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B82"/>
  <sheetViews>
    <sheetView workbookViewId="0">
      <selection activeCell="F12" sqref="F12"/>
    </sheetView>
  </sheetViews>
  <sheetFormatPr defaultColWidth="0" defaultRowHeight="15" zeroHeight="1" x14ac:dyDescent="0.25"/>
  <cols>
    <col min="1" max="1" width="43.140625" bestFit="1" customWidth="1"/>
    <col min="2" max="2" width="13.140625" bestFit="1" customWidth="1"/>
    <col min="3" max="3" width="14.140625" bestFit="1" customWidth="1"/>
    <col min="4" max="6" width="13.140625" bestFit="1" customWidth="1"/>
    <col min="7" max="7" width="14.140625" bestFit="1" customWidth="1"/>
    <col min="8" max="8" width="13.140625" bestFit="1" customWidth="1"/>
    <col min="9" max="9" width="14.140625" bestFit="1" customWidth="1"/>
    <col min="10" max="27" width="13.140625" bestFit="1" customWidth="1"/>
    <col min="28" max="28" width="3.85546875" customWidth="1"/>
    <col min="29" max="16384" width="9.140625" hidden="1"/>
  </cols>
  <sheetData>
    <row r="1" spans="1:28" s="4" customFormat="1" ht="12" x14ac:dyDescent="0.2">
      <c r="A1" s="22"/>
      <c r="B1" s="23"/>
      <c r="C1" s="23"/>
      <c r="D1" s="23"/>
      <c r="E1" s="23"/>
      <c r="F1" s="23"/>
      <c r="G1" s="23"/>
      <c r="H1" s="23"/>
      <c r="I1" s="23"/>
      <c r="J1" s="23"/>
      <c r="K1" s="23"/>
      <c r="L1" s="23"/>
      <c r="M1" s="23"/>
      <c r="N1" s="23"/>
      <c r="O1" s="23"/>
      <c r="P1" s="23"/>
      <c r="Q1" s="23"/>
      <c r="R1" s="23"/>
      <c r="S1" s="23"/>
      <c r="T1" s="23"/>
      <c r="U1" s="23"/>
      <c r="V1" s="23"/>
      <c r="W1" s="23"/>
      <c r="X1" s="23"/>
      <c r="Y1" s="23"/>
      <c r="Z1" s="23"/>
      <c r="AA1" s="23"/>
      <c r="AB1" s="21"/>
    </row>
    <row r="2" spans="1:28" s="4" customFormat="1" ht="12" x14ac:dyDescent="0.2">
      <c r="A2" s="5" t="s">
        <v>28</v>
      </c>
      <c r="B2" s="6">
        <v>0</v>
      </c>
      <c r="C2" s="6">
        <v>1</v>
      </c>
      <c r="D2" s="6">
        <v>2</v>
      </c>
      <c r="E2" s="6">
        <v>3</v>
      </c>
      <c r="F2" s="6">
        <v>4</v>
      </c>
      <c r="G2" s="6">
        <v>5</v>
      </c>
      <c r="H2" s="6">
        <v>6</v>
      </c>
      <c r="I2" s="6">
        <v>7</v>
      </c>
      <c r="J2" s="6">
        <v>8</v>
      </c>
      <c r="K2" s="6">
        <v>9</v>
      </c>
      <c r="L2" s="6">
        <v>10</v>
      </c>
      <c r="M2" s="6">
        <v>11</v>
      </c>
      <c r="N2" s="6">
        <v>12</v>
      </c>
      <c r="O2" s="6">
        <v>13</v>
      </c>
      <c r="P2" s="6">
        <v>14</v>
      </c>
      <c r="Q2" s="6">
        <v>15</v>
      </c>
      <c r="R2" s="6">
        <v>16</v>
      </c>
      <c r="S2" s="6">
        <v>17</v>
      </c>
      <c r="T2" s="6">
        <v>18</v>
      </c>
      <c r="U2" s="6">
        <v>19</v>
      </c>
      <c r="V2" s="6">
        <v>20</v>
      </c>
      <c r="W2" s="6">
        <v>21</v>
      </c>
      <c r="X2" s="6">
        <v>22</v>
      </c>
      <c r="Y2" s="6">
        <v>23</v>
      </c>
      <c r="Z2" s="6">
        <v>24</v>
      </c>
      <c r="AA2" s="6">
        <v>25</v>
      </c>
      <c r="AB2" s="21"/>
    </row>
    <row r="3" spans="1:28" s="4" customFormat="1" ht="12" x14ac:dyDescent="0.2">
      <c r="A3" s="21" t="s">
        <v>127</v>
      </c>
      <c r="B3" s="24">
        <f>IF(B4&gt;0,B4,0)</f>
        <v>6750000</v>
      </c>
      <c r="C3" s="24">
        <f>IF(SUM($B$3:B3)&gt;0,0,C4)</f>
        <v>0</v>
      </c>
      <c r="D3" s="24">
        <f>IF(SUM($B$3:C3)&gt;0,0,D4)</f>
        <v>0</v>
      </c>
      <c r="E3" s="24">
        <f>IF(SUM($B$3:D3)&gt;0,0,E4)</f>
        <v>0</v>
      </c>
      <c r="F3" s="24">
        <f>IF(SUM($B$3:E3)&gt;0,0,F4)</f>
        <v>0</v>
      </c>
      <c r="G3" s="24">
        <f>IF(SUM($B$3:F3)&gt;0,0,G4)</f>
        <v>0</v>
      </c>
      <c r="H3" s="24">
        <f>IF(SUM($B$3:G3)&gt;0,0,H4)</f>
        <v>0</v>
      </c>
      <c r="I3" s="24">
        <f>IF(SUM($B$3:H3)&gt;0,0,I4)</f>
        <v>0</v>
      </c>
      <c r="J3" s="24">
        <f>IF(SUM($B$3:I3)&gt;0,0,J4)</f>
        <v>0</v>
      </c>
      <c r="K3" s="24">
        <f>IF(SUM($B$3:J3)&gt;0,0,K4)</f>
        <v>0</v>
      </c>
      <c r="L3" s="24">
        <f>IF(SUM($B$3:K3)&gt;0,0,L4)</f>
        <v>0</v>
      </c>
      <c r="M3" s="24">
        <f>IF(SUM($B$3:L3)&gt;0,0,M4)</f>
        <v>0</v>
      </c>
      <c r="N3" s="24">
        <f>IF(SUM($B$3:M3)&gt;0,0,N4)</f>
        <v>0</v>
      </c>
      <c r="O3" s="24">
        <f>IF(SUM($B$3:N3)&gt;0,0,O4)</f>
        <v>0</v>
      </c>
      <c r="P3" s="24">
        <f>IF(SUM($B$3:O3)&gt;0,0,P4)</f>
        <v>0</v>
      </c>
      <c r="Q3" s="24">
        <f>IF(SUM($B$3:P3)&gt;0,0,Q4)</f>
        <v>0</v>
      </c>
      <c r="R3" s="24">
        <f>IF(SUM($B$3:Q3)&gt;0,0,R4)</f>
        <v>0</v>
      </c>
      <c r="S3" s="24">
        <f>IF(SUM($B$3:R3)&gt;0,0,S4)</f>
        <v>0</v>
      </c>
      <c r="T3" s="24">
        <f>IF(SUM($B$3:S3)&gt;0,0,T4)</f>
        <v>0</v>
      </c>
      <c r="U3" s="24">
        <f>IF(SUM($B$3:T3)&gt;0,0,U4)</f>
        <v>0</v>
      </c>
      <c r="V3" s="24">
        <f>IF(SUM($B$3:U3)&gt;0,0,V4)</f>
        <v>0</v>
      </c>
      <c r="W3" s="24">
        <f>IF(SUM($B$3:V3)&gt;0,0,W4)</f>
        <v>0</v>
      </c>
      <c r="X3" s="24">
        <f>IF(SUM($B$3:W3)&gt;0,0,X4)</f>
        <v>0</v>
      </c>
      <c r="Y3" s="24">
        <f>IF(SUM($B$3:X3)&gt;0,0,Y4)</f>
        <v>0</v>
      </c>
      <c r="Z3" s="24">
        <f>IF(SUM($B$3:Y3)&gt;0,0,Z4)</f>
        <v>0</v>
      </c>
      <c r="AA3" s="24">
        <f>IF(SUM($B$3:Z3)&gt;0,0,AA4)</f>
        <v>0</v>
      </c>
      <c r="AB3" s="21"/>
    </row>
    <row r="4" spans="1:28" s="4" customFormat="1" ht="12" x14ac:dyDescent="0.2">
      <c r="A4" s="21" t="s">
        <v>89</v>
      </c>
      <c r="B4" s="24">
        <f t="shared" ref="B4" si="0">IF(B2=fin_vv_aanvang_1,fin_vv_omvang_1,
IF(OR(B2&lt;fin_vv_aanvang_1,B2&gt;(fin_vv_aanvang_1+fin_vv_termijn_1)),0,
A4+B7))</f>
        <v>6750000</v>
      </c>
      <c r="C4" s="24">
        <f t="shared" ref="C4:AA4" si="1">IF(C2=fin_vv_aanvang_1,fin_vv_omvang_1,
IF(OR(C2&lt;fin_vv_aanvang_1,C2&gt;(fin_vv_aanvang_1+fin_vv_termijn_1+fin_vv_aflossingsvrij_1)),0,
B4+C7))</f>
        <v>6750000</v>
      </c>
      <c r="D4" s="58">
        <f t="shared" si="1"/>
        <v>6750000</v>
      </c>
      <c r="E4" s="58">
        <f t="shared" si="1"/>
        <v>6411806.2642378984</v>
      </c>
      <c r="F4" s="58">
        <f t="shared" si="1"/>
        <v>6069554.2036466515</v>
      </c>
      <c r="G4" s="58">
        <f t="shared" si="1"/>
        <v>5723195.1183283096</v>
      </c>
      <c r="H4" s="58">
        <f t="shared" si="1"/>
        <v>5372679.723986147</v>
      </c>
      <c r="I4" s="58">
        <f t="shared" si="1"/>
        <v>5017958.1449118787</v>
      </c>
      <c r="J4" s="58">
        <f t="shared" si="1"/>
        <v>4658979.9068887196</v>
      </c>
      <c r="K4" s="58">
        <f t="shared" si="1"/>
        <v>4295693.9300092822</v>
      </c>
      <c r="L4" s="58">
        <f t="shared" si="1"/>
        <v>3928048.5214072918</v>
      </c>
      <c r="M4" s="58">
        <f t="shared" si="1"/>
        <v>3555991.3679020773</v>
      </c>
      <c r="N4" s="58">
        <f t="shared" si="1"/>
        <v>3179469.5285548004</v>
      </c>
      <c r="O4" s="58">
        <f t="shared" si="1"/>
        <v>2798429.4271353562</v>
      </c>
      <c r="P4" s="58">
        <f t="shared" si="1"/>
        <v>2412816.8444988783</v>
      </c>
      <c r="Q4" s="58">
        <f t="shared" si="1"/>
        <v>2022576.910870763</v>
      </c>
      <c r="R4" s="58">
        <f t="shared" si="1"/>
        <v>1627654.0980391102</v>
      </c>
      <c r="S4" s="58">
        <f t="shared" si="1"/>
        <v>1227992.2114534776</v>
      </c>
      <c r="T4" s="58">
        <f t="shared" si="1"/>
        <v>823534.38222881733</v>
      </c>
      <c r="U4" s="58">
        <f t="shared" si="1"/>
        <v>414223.05905346118</v>
      </c>
      <c r="V4" s="58">
        <f t="shared" si="1"/>
        <v>7.5669959187507629E-10</v>
      </c>
      <c r="W4" s="58">
        <f t="shared" si="1"/>
        <v>0</v>
      </c>
      <c r="X4" s="58">
        <f t="shared" si="1"/>
        <v>0</v>
      </c>
      <c r="Y4" s="58">
        <f t="shared" si="1"/>
        <v>0</v>
      </c>
      <c r="Z4" s="58">
        <f t="shared" si="1"/>
        <v>0</v>
      </c>
      <c r="AA4" s="58">
        <f t="shared" si="1"/>
        <v>0</v>
      </c>
      <c r="AB4" s="21"/>
    </row>
    <row r="5" spans="1:28" s="4" customFormat="1" ht="12" x14ac:dyDescent="0.2">
      <c r="A5" s="21" t="s">
        <v>90</v>
      </c>
      <c r="B5" s="24">
        <v>0</v>
      </c>
      <c r="C5" s="24">
        <f t="shared" ref="C5:AA5" si="2">IF((fin_vv_aflossingsvrij_1+fin_vv_aanvang_1)&gt;=C2,0,IF(B4&gt;1,PMT(fin_vv_rente_1,fin_vv_termijn_1,fin_vv_omvang_1),0))</f>
        <v>0</v>
      </c>
      <c r="D5" s="58">
        <f t="shared" si="2"/>
        <v>0</v>
      </c>
      <c r="E5" s="58">
        <f t="shared" si="2"/>
        <v>-419193.73576210195</v>
      </c>
      <c r="F5" s="58">
        <f t="shared" si="2"/>
        <v>-419193.73576210195</v>
      </c>
      <c r="G5" s="58">
        <f t="shared" si="2"/>
        <v>-419193.73576210195</v>
      </c>
      <c r="H5" s="58">
        <f t="shared" si="2"/>
        <v>-419193.73576210195</v>
      </c>
      <c r="I5" s="58">
        <f t="shared" si="2"/>
        <v>-419193.73576210195</v>
      </c>
      <c r="J5" s="58">
        <f t="shared" si="2"/>
        <v>-419193.73576210195</v>
      </c>
      <c r="K5" s="58">
        <f t="shared" si="2"/>
        <v>-419193.73576210195</v>
      </c>
      <c r="L5" s="58">
        <f t="shared" si="2"/>
        <v>-419193.73576210195</v>
      </c>
      <c r="M5" s="58">
        <f t="shared" si="2"/>
        <v>-419193.73576210195</v>
      </c>
      <c r="N5" s="58">
        <f t="shared" si="2"/>
        <v>-419193.73576210195</v>
      </c>
      <c r="O5" s="58">
        <f t="shared" si="2"/>
        <v>-419193.73576210195</v>
      </c>
      <c r="P5" s="58">
        <f t="shared" si="2"/>
        <v>-419193.73576210195</v>
      </c>
      <c r="Q5" s="58">
        <f t="shared" si="2"/>
        <v>-419193.73576210195</v>
      </c>
      <c r="R5" s="58">
        <f t="shared" si="2"/>
        <v>-419193.73576210195</v>
      </c>
      <c r="S5" s="58">
        <f t="shared" si="2"/>
        <v>-419193.73576210195</v>
      </c>
      <c r="T5" s="58">
        <f t="shared" si="2"/>
        <v>-419193.73576210195</v>
      </c>
      <c r="U5" s="58">
        <f t="shared" si="2"/>
        <v>-419193.73576210195</v>
      </c>
      <c r="V5" s="58">
        <f t="shared" si="2"/>
        <v>-419193.73576210195</v>
      </c>
      <c r="W5" s="58">
        <f t="shared" si="2"/>
        <v>0</v>
      </c>
      <c r="X5" s="58">
        <f t="shared" si="2"/>
        <v>0</v>
      </c>
      <c r="Y5" s="58">
        <f t="shared" si="2"/>
        <v>0</v>
      </c>
      <c r="Z5" s="58">
        <f t="shared" si="2"/>
        <v>0</v>
      </c>
      <c r="AA5" s="58">
        <f t="shared" si="2"/>
        <v>0</v>
      </c>
      <c r="AB5" s="21"/>
    </row>
    <row r="6" spans="1:28" s="4" customFormat="1" ht="12" x14ac:dyDescent="0.2">
      <c r="A6" s="21" t="s">
        <v>91</v>
      </c>
      <c r="B6" s="24">
        <v>0</v>
      </c>
      <c r="C6" s="24">
        <f t="shared" ref="C6:AA6" si="3">-B4*fin_vv_rente_1</f>
        <v>-81000</v>
      </c>
      <c r="D6" s="58">
        <f t="shared" si="3"/>
        <v>-81000</v>
      </c>
      <c r="E6" s="58">
        <f t="shared" si="3"/>
        <v>-81000</v>
      </c>
      <c r="F6" s="58">
        <f t="shared" si="3"/>
        <v>-76941.675170854782</v>
      </c>
      <c r="G6" s="58">
        <f t="shared" si="3"/>
        <v>-72834.65044375982</v>
      </c>
      <c r="H6" s="58">
        <f t="shared" si="3"/>
        <v>-68678.341419939723</v>
      </c>
      <c r="I6" s="58">
        <f t="shared" si="3"/>
        <v>-64472.156687833762</v>
      </c>
      <c r="J6" s="58">
        <f t="shared" si="3"/>
        <v>-60215.497738942548</v>
      </c>
      <c r="K6" s="58">
        <f t="shared" si="3"/>
        <v>-55907.758882664639</v>
      </c>
      <c r="L6" s="58">
        <f t="shared" si="3"/>
        <v>-51548.327160111388</v>
      </c>
      <c r="M6" s="58">
        <f t="shared" si="3"/>
        <v>-47136.582256887501</v>
      </c>
      <c r="N6" s="58">
        <f t="shared" si="3"/>
        <v>-42671.896414824929</v>
      </c>
      <c r="O6" s="58">
        <f t="shared" si="3"/>
        <v>-38153.634342657606</v>
      </c>
      <c r="P6" s="58">
        <f t="shared" si="3"/>
        <v>-33581.153125624274</v>
      </c>
      <c r="Q6" s="58">
        <f t="shared" si="3"/>
        <v>-28953.802133986541</v>
      </c>
      <c r="R6" s="58">
        <f t="shared" si="3"/>
        <v>-24270.922930449156</v>
      </c>
      <c r="S6" s="58">
        <f t="shared" si="3"/>
        <v>-19531.849176469324</v>
      </c>
      <c r="T6" s="58">
        <f t="shared" si="3"/>
        <v>-14735.906537441731</v>
      </c>
      <c r="U6" s="58">
        <f t="shared" si="3"/>
        <v>-9882.4125867458079</v>
      </c>
      <c r="V6" s="58">
        <f t="shared" si="3"/>
        <v>-4970.6767086415339</v>
      </c>
      <c r="W6" s="58">
        <f t="shared" si="3"/>
        <v>-9.0803951025009155E-12</v>
      </c>
      <c r="X6" s="58">
        <f t="shared" si="3"/>
        <v>0</v>
      </c>
      <c r="Y6" s="58">
        <f t="shared" si="3"/>
        <v>0</v>
      </c>
      <c r="Z6" s="58">
        <f t="shared" si="3"/>
        <v>0</v>
      </c>
      <c r="AA6" s="58">
        <f t="shared" si="3"/>
        <v>0</v>
      </c>
      <c r="AB6" s="21"/>
    </row>
    <row r="7" spans="1:28" s="4" customFormat="1" ht="12" x14ac:dyDescent="0.2">
      <c r="A7" s="21" t="s">
        <v>92</v>
      </c>
      <c r="B7" s="24">
        <v>0</v>
      </c>
      <c r="C7" s="24">
        <f>IF(C5=0,0,C5-C6)</f>
        <v>0</v>
      </c>
      <c r="D7" s="58">
        <f t="shared" ref="D7:W7" si="4">IF(D5=0,0,D5-D6)</f>
        <v>0</v>
      </c>
      <c r="E7" s="58">
        <f t="shared" si="4"/>
        <v>-338193.73576210195</v>
      </c>
      <c r="F7" s="58">
        <f t="shared" si="4"/>
        <v>-342252.06059124717</v>
      </c>
      <c r="G7" s="58">
        <f t="shared" si="4"/>
        <v>-346359.08531834214</v>
      </c>
      <c r="H7" s="58">
        <f>IF(H5=0,0,H5-H6)</f>
        <v>-350515.39434216224</v>
      </c>
      <c r="I7" s="58">
        <f t="shared" si="4"/>
        <v>-354721.57907426817</v>
      </c>
      <c r="J7" s="58">
        <f t="shared" si="4"/>
        <v>-358978.23802315939</v>
      </c>
      <c r="K7" s="58">
        <f t="shared" si="4"/>
        <v>-363285.97687943734</v>
      </c>
      <c r="L7" s="58">
        <f t="shared" si="4"/>
        <v>-367645.40860199055</v>
      </c>
      <c r="M7" s="58">
        <f t="shared" si="4"/>
        <v>-372057.15350521443</v>
      </c>
      <c r="N7" s="58">
        <f t="shared" si="4"/>
        <v>-376521.83934727701</v>
      </c>
      <c r="O7" s="58">
        <f t="shared" si="4"/>
        <v>-381040.10141944431</v>
      </c>
      <c r="P7" s="58">
        <f t="shared" si="4"/>
        <v>-385612.58263647766</v>
      </c>
      <c r="Q7" s="58">
        <f t="shared" si="4"/>
        <v>-390239.9336281154</v>
      </c>
      <c r="R7" s="58">
        <f t="shared" si="4"/>
        <v>-394922.81283165282</v>
      </c>
      <c r="S7" s="58">
        <f t="shared" si="4"/>
        <v>-399661.88658563263</v>
      </c>
      <c r="T7" s="58">
        <f t="shared" si="4"/>
        <v>-404457.82922466024</v>
      </c>
      <c r="U7" s="58">
        <f t="shared" si="4"/>
        <v>-409311.32317535614</v>
      </c>
      <c r="V7" s="58">
        <f t="shared" si="4"/>
        <v>-414223.05905346043</v>
      </c>
      <c r="W7" s="58">
        <f t="shared" si="4"/>
        <v>0</v>
      </c>
      <c r="X7" s="58">
        <f t="shared" ref="X7" si="5">IF(X5=0,0,X5-X6)</f>
        <v>0</v>
      </c>
      <c r="Y7" s="58">
        <f t="shared" ref="Y7" si="6">IF(Y5=0,0,Y5-Y6)</f>
        <v>0</v>
      </c>
      <c r="Z7" s="58">
        <f t="shared" ref="Z7" si="7">IF(Z5=0,0,Z5-Z6)</f>
        <v>0</v>
      </c>
      <c r="AA7" s="58">
        <f t="shared" ref="AA7" si="8">IF(AA5=0,0,AA5-AA6)</f>
        <v>0</v>
      </c>
      <c r="AB7" s="21"/>
    </row>
    <row r="8" spans="1:28" s="4" customFormat="1" ht="12" x14ac:dyDescent="0.2">
      <c r="A8" s="21"/>
      <c r="B8" s="24"/>
      <c r="C8" s="24"/>
      <c r="D8" s="24"/>
      <c r="E8" s="24"/>
      <c r="F8" s="24"/>
      <c r="G8" s="24"/>
      <c r="H8" s="24"/>
      <c r="I8" s="24"/>
      <c r="J8" s="24"/>
      <c r="K8" s="24"/>
      <c r="L8" s="24"/>
      <c r="M8" s="24"/>
      <c r="N8" s="24"/>
      <c r="O8" s="24"/>
      <c r="P8" s="24"/>
      <c r="Q8" s="24"/>
      <c r="R8" s="24"/>
      <c r="S8" s="24"/>
      <c r="T8" s="24"/>
      <c r="U8" s="24"/>
      <c r="V8" s="24"/>
      <c r="W8" s="24"/>
      <c r="X8" s="24"/>
      <c r="Y8" s="24"/>
      <c r="Z8" s="24"/>
      <c r="AA8" s="24"/>
      <c r="AB8" s="21"/>
    </row>
    <row r="9" spans="1:28" s="4" customFormat="1" ht="12" x14ac:dyDescent="0.2">
      <c r="A9" s="21" t="s">
        <v>128</v>
      </c>
      <c r="B9" s="24">
        <f>IF(B10&gt;0,B10,0)</f>
        <v>0</v>
      </c>
      <c r="C9" s="24">
        <f>IF(SUM($B$9:B9)&gt;0,0,C10)</f>
        <v>0</v>
      </c>
      <c r="D9" s="24">
        <f>IF(SUM($B$9:C9)&gt;0,0,D10)</f>
        <v>0</v>
      </c>
      <c r="E9" s="24">
        <f>IF(SUM($B$9:D9)&gt;0,0,E10)</f>
        <v>0</v>
      </c>
      <c r="F9" s="24">
        <f>IF(SUM($B$9:E9)&gt;0,0,F10)</f>
        <v>0</v>
      </c>
      <c r="G9" s="24">
        <f>IF(SUM($B$9:F9)&gt;0,0,G10)</f>
        <v>0</v>
      </c>
      <c r="H9" s="24">
        <f>IF(SUM($B$9:G9)&gt;0,0,H10)</f>
        <v>0</v>
      </c>
      <c r="I9" s="24">
        <f>IF(SUM($B$9:H9)&gt;0,0,I10)</f>
        <v>0</v>
      </c>
      <c r="J9" s="24">
        <f>IF(SUM($B$9:I9)&gt;0,0,J10)</f>
        <v>0</v>
      </c>
      <c r="K9" s="24">
        <f>IF(SUM($B$9:J9)&gt;0,0,K10)</f>
        <v>0</v>
      </c>
      <c r="L9" s="24">
        <f>IF(SUM($B$9:K9)&gt;0,0,L10)</f>
        <v>0</v>
      </c>
      <c r="M9" s="24">
        <f>IF(SUM($B$9:L9)&gt;0,0,M10)</f>
        <v>0</v>
      </c>
      <c r="N9" s="24">
        <f>IF(SUM($B$9:M9)&gt;0,0,N10)</f>
        <v>0</v>
      </c>
      <c r="O9" s="24">
        <f>IF(SUM($B$9:N9)&gt;0,0,O10)</f>
        <v>0</v>
      </c>
      <c r="P9" s="24">
        <f>IF(SUM($B$9:O9)&gt;0,0,P10)</f>
        <v>0</v>
      </c>
      <c r="Q9" s="24">
        <f>IF(SUM($B$9:P9)&gt;0,0,Q10)</f>
        <v>0</v>
      </c>
      <c r="R9" s="24">
        <f>IF(SUM($B$9:Q9)&gt;0,0,R10)</f>
        <v>0</v>
      </c>
      <c r="S9" s="24">
        <f>IF(SUM($B$9:R9)&gt;0,0,S10)</f>
        <v>0</v>
      </c>
      <c r="T9" s="24">
        <f>IF(SUM($B$9:S9)&gt;0,0,T10)</f>
        <v>0</v>
      </c>
      <c r="U9" s="24">
        <f>IF(SUM($B$9:T9)&gt;0,0,U10)</f>
        <v>0</v>
      </c>
      <c r="V9" s="24">
        <f>IF(SUM($B$9:U9)&gt;0,0,V10)</f>
        <v>0</v>
      </c>
      <c r="W9" s="24">
        <f>IF(SUM($B$9:V9)&gt;0,0,W10)</f>
        <v>0</v>
      </c>
      <c r="X9" s="24">
        <f>IF(SUM($B$9:W9)&gt;0,0,X10)</f>
        <v>0</v>
      </c>
      <c r="Y9" s="24">
        <f>IF(SUM($B$9:X9)&gt;0,0,Y10)</f>
        <v>0</v>
      </c>
      <c r="Z9" s="24">
        <f>IF(SUM($B$9:Y9)&gt;0,0,Z10)</f>
        <v>0</v>
      </c>
      <c r="AA9" s="24">
        <f>IF(SUM($B$9:Z9)&gt;0,0,AA10)</f>
        <v>0</v>
      </c>
      <c r="AB9" s="21"/>
    </row>
    <row r="10" spans="1:28" s="4" customFormat="1" ht="12" x14ac:dyDescent="0.2">
      <c r="A10" s="21" t="s">
        <v>93</v>
      </c>
      <c r="B10" s="24">
        <f t="shared" ref="B10" si="9">IF(B2=fin_vv_aanvang_2,fin_vv_omvang_2,
IF(OR(B2&lt;fin_vv_aanvang_2,B2&gt;(fin_vv_aanvang_2+fin_vv_termijn_2)),0,
A10+A13))</f>
        <v>0</v>
      </c>
      <c r="C10" s="24">
        <f t="shared" ref="C10:AA10" si="10">IF(C2=fin_vv_aanvang_2,fin_vv_omvang_2,
IF(OR(C2&lt;fin_vv_aanvang_2,C2&gt;(fin_vv_aanvang_2+fin_vv_termijn_2+fin_vv_aflossingsvrij_2)),0,
B10+C13))</f>
        <v>0</v>
      </c>
      <c r="D10" s="58">
        <f t="shared" si="10"/>
        <v>0</v>
      </c>
      <c r="E10" s="58">
        <f t="shared" si="10"/>
        <v>0</v>
      </c>
      <c r="F10" s="58">
        <f t="shared" si="10"/>
        <v>0</v>
      </c>
      <c r="G10" s="58">
        <f t="shared" si="10"/>
        <v>0</v>
      </c>
      <c r="H10" s="58">
        <f t="shared" si="10"/>
        <v>0</v>
      </c>
      <c r="I10" s="58">
        <f t="shared" si="10"/>
        <v>0</v>
      </c>
      <c r="J10" s="58">
        <f t="shared" si="10"/>
        <v>0</v>
      </c>
      <c r="K10" s="58">
        <f t="shared" si="10"/>
        <v>0</v>
      </c>
      <c r="L10" s="58">
        <f t="shared" si="10"/>
        <v>0</v>
      </c>
      <c r="M10" s="58">
        <f t="shared" si="10"/>
        <v>0</v>
      </c>
      <c r="N10" s="58">
        <f t="shared" si="10"/>
        <v>0</v>
      </c>
      <c r="O10" s="58">
        <f t="shared" si="10"/>
        <v>0</v>
      </c>
      <c r="P10" s="58">
        <f t="shared" si="10"/>
        <v>0</v>
      </c>
      <c r="Q10" s="58">
        <f t="shared" si="10"/>
        <v>0</v>
      </c>
      <c r="R10" s="58">
        <f t="shared" si="10"/>
        <v>0</v>
      </c>
      <c r="S10" s="58">
        <f t="shared" si="10"/>
        <v>0</v>
      </c>
      <c r="T10" s="58">
        <f t="shared" si="10"/>
        <v>0</v>
      </c>
      <c r="U10" s="58">
        <f t="shared" si="10"/>
        <v>0</v>
      </c>
      <c r="V10" s="58">
        <f t="shared" si="10"/>
        <v>0</v>
      </c>
      <c r="W10" s="58">
        <f t="shared" si="10"/>
        <v>0</v>
      </c>
      <c r="X10" s="58">
        <f t="shared" si="10"/>
        <v>0</v>
      </c>
      <c r="Y10" s="58">
        <f t="shared" si="10"/>
        <v>0</v>
      </c>
      <c r="Z10" s="58">
        <f t="shared" si="10"/>
        <v>0</v>
      </c>
      <c r="AA10" s="58">
        <f t="shared" si="10"/>
        <v>0</v>
      </c>
      <c r="AB10" s="21"/>
    </row>
    <row r="11" spans="1:28" s="4" customFormat="1" ht="12" x14ac:dyDescent="0.2">
      <c r="A11" s="21" t="s">
        <v>94</v>
      </c>
      <c r="B11" s="58">
        <v>0</v>
      </c>
      <c r="C11" s="24">
        <f t="shared" ref="C11:AA11" si="11">IF((fin_vv_aflossingsvrij_2+fin_vv_aanvang_2)&gt;=C2,0,IF(B10&gt;1,PMT(fin_vv_rente_2,fin_vv_termijn_2,fin_vv_omvang_2),0))</f>
        <v>0</v>
      </c>
      <c r="D11" s="58">
        <f t="shared" si="11"/>
        <v>0</v>
      </c>
      <c r="E11" s="58">
        <f t="shared" si="11"/>
        <v>0</v>
      </c>
      <c r="F11" s="58">
        <f>IF((fin_vv_aflossingsvrij_2+fin_vv_aanvang_2)&gt;=F2,0,IF(E10&gt;1,PMT(fin_vv_rente_2,fin_vv_termijn_2,fin_vv_omvang_2),0))</f>
        <v>0</v>
      </c>
      <c r="G11" s="58">
        <f t="shared" si="11"/>
        <v>0</v>
      </c>
      <c r="H11" s="58">
        <f t="shared" si="11"/>
        <v>0</v>
      </c>
      <c r="I11" s="58">
        <f t="shared" si="11"/>
        <v>0</v>
      </c>
      <c r="J11" s="58">
        <f t="shared" si="11"/>
        <v>0</v>
      </c>
      <c r="K11" s="58">
        <f t="shared" si="11"/>
        <v>0</v>
      </c>
      <c r="L11" s="58">
        <f t="shared" si="11"/>
        <v>0</v>
      </c>
      <c r="M11" s="58">
        <f t="shared" si="11"/>
        <v>0</v>
      </c>
      <c r="N11" s="58">
        <f t="shared" si="11"/>
        <v>0</v>
      </c>
      <c r="O11" s="58">
        <f t="shared" si="11"/>
        <v>0</v>
      </c>
      <c r="P11" s="58">
        <f t="shared" si="11"/>
        <v>0</v>
      </c>
      <c r="Q11" s="58">
        <f t="shared" si="11"/>
        <v>0</v>
      </c>
      <c r="R11" s="58">
        <f t="shared" si="11"/>
        <v>0</v>
      </c>
      <c r="S11" s="58">
        <f t="shared" si="11"/>
        <v>0</v>
      </c>
      <c r="T11" s="58">
        <f t="shared" si="11"/>
        <v>0</v>
      </c>
      <c r="U11" s="58">
        <f t="shared" si="11"/>
        <v>0</v>
      </c>
      <c r="V11" s="58">
        <f t="shared" si="11"/>
        <v>0</v>
      </c>
      <c r="W11" s="58">
        <f t="shared" si="11"/>
        <v>0</v>
      </c>
      <c r="X11" s="58">
        <f t="shared" si="11"/>
        <v>0</v>
      </c>
      <c r="Y11" s="58">
        <f t="shared" si="11"/>
        <v>0</v>
      </c>
      <c r="Z11" s="58">
        <f t="shared" si="11"/>
        <v>0</v>
      </c>
      <c r="AA11" s="58">
        <f t="shared" si="11"/>
        <v>0</v>
      </c>
      <c r="AB11" s="21"/>
    </row>
    <row r="12" spans="1:28" s="4" customFormat="1" ht="12" x14ac:dyDescent="0.2">
      <c r="A12" s="21" t="s">
        <v>95</v>
      </c>
      <c r="B12" s="24">
        <v>0</v>
      </c>
      <c r="C12" s="24">
        <f t="shared" ref="C12" si="12">-B10*fin_vv_rente_2</f>
        <v>0</v>
      </c>
      <c r="D12" s="58">
        <f t="shared" ref="D12" si="13">-C10*fin_vv_rente_2</f>
        <v>0</v>
      </c>
      <c r="E12" s="58">
        <f t="shared" ref="E12" si="14">-D10*fin_vv_rente_2</f>
        <v>0</v>
      </c>
      <c r="F12" s="58">
        <f t="shared" ref="F12" si="15">-E10*fin_vv_rente_2</f>
        <v>0</v>
      </c>
      <c r="G12" s="58">
        <f t="shared" ref="G12" si="16">-F10*fin_vv_rente_2</f>
        <v>0</v>
      </c>
      <c r="H12" s="58">
        <f t="shared" ref="H12" si="17">-G10*fin_vv_rente_2</f>
        <v>0</v>
      </c>
      <c r="I12" s="58">
        <f t="shared" ref="I12" si="18">-H10*fin_vv_rente_2</f>
        <v>0</v>
      </c>
      <c r="J12" s="58">
        <f t="shared" ref="J12" si="19">-I10*fin_vv_rente_2</f>
        <v>0</v>
      </c>
      <c r="K12" s="58">
        <f t="shared" ref="K12" si="20">-J10*fin_vv_rente_2</f>
        <v>0</v>
      </c>
      <c r="L12" s="58">
        <f t="shared" ref="L12" si="21">-K10*fin_vv_rente_2</f>
        <v>0</v>
      </c>
      <c r="M12" s="58">
        <f t="shared" ref="M12" si="22">-L10*fin_vv_rente_2</f>
        <v>0</v>
      </c>
      <c r="N12" s="58">
        <f t="shared" ref="N12" si="23">-M10*fin_vv_rente_2</f>
        <v>0</v>
      </c>
      <c r="O12" s="58">
        <f t="shared" ref="O12" si="24">-N10*fin_vv_rente_2</f>
        <v>0</v>
      </c>
      <c r="P12" s="58">
        <f t="shared" ref="P12" si="25">-O10*fin_vv_rente_2</f>
        <v>0</v>
      </c>
      <c r="Q12" s="58">
        <f t="shared" ref="Q12" si="26">-P10*fin_vv_rente_2</f>
        <v>0</v>
      </c>
      <c r="R12" s="58">
        <f t="shared" ref="R12" si="27">-Q10*fin_vv_rente_2</f>
        <v>0</v>
      </c>
      <c r="S12" s="58">
        <f t="shared" ref="S12" si="28">-R10*fin_vv_rente_2</f>
        <v>0</v>
      </c>
      <c r="T12" s="58">
        <f t="shared" ref="T12" si="29">-S10*fin_vv_rente_2</f>
        <v>0</v>
      </c>
      <c r="U12" s="58">
        <f t="shared" ref="U12" si="30">-T10*fin_vv_rente_2</f>
        <v>0</v>
      </c>
      <c r="V12" s="58">
        <f t="shared" ref="V12" si="31">-U10*fin_vv_rente_2</f>
        <v>0</v>
      </c>
      <c r="W12" s="58">
        <f t="shared" ref="W12" si="32">-V10*fin_vv_rente_2</f>
        <v>0</v>
      </c>
      <c r="X12" s="58">
        <f t="shared" ref="X12" si="33">-W10*fin_vv_rente_2</f>
        <v>0</v>
      </c>
      <c r="Y12" s="58">
        <f t="shared" ref="Y12" si="34">-X10*fin_vv_rente_2</f>
        <v>0</v>
      </c>
      <c r="Z12" s="58">
        <f t="shared" ref="Z12" si="35">-Y10*fin_vv_rente_2</f>
        <v>0</v>
      </c>
      <c r="AA12" s="58">
        <f t="shared" ref="AA12" si="36">-Z10*fin_vv_rente_2</f>
        <v>0</v>
      </c>
      <c r="AB12" s="21"/>
    </row>
    <row r="13" spans="1:28" s="4" customFormat="1" ht="12" x14ac:dyDescent="0.2">
      <c r="A13" s="21" t="s">
        <v>96</v>
      </c>
      <c r="B13" s="24">
        <v>0</v>
      </c>
      <c r="C13" s="58">
        <f>IF(C11=0,0,C11-C12)</f>
        <v>0</v>
      </c>
      <c r="D13" s="58">
        <f t="shared" ref="D13:AA13" si="37">IF(D11=0,0,D11-D12)</f>
        <v>0</v>
      </c>
      <c r="E13" s="58">
        <f t="shared" si="37"/>
        <v>0</v>
      </c>
      <c r="F13" s="58">
        <f t="shared" si="37"/>
        <v>0</v>
      </c>
      <c r="G13" s="58">
        <f t="shared" si="37"/>
        <v>0</v>
      </c>
      <c r="H13" s="58">
        <f t="shared" si="37"/>
        <v>0</v>
      </c>
      <c r="I13" s="58">
        <f t="shared" si="37"/>
        <v>0</v>
      </c>
      <c r="J13" s="58">
        <f t="shared" si="37"/>
        <v>0</v>
      </c>
      <c r="K13" s="58">
        <f t="shared" si="37"/>
        <v>0</v>
      </c>
      <c r="L13" s="58">
        <f t="shared" si="37"/>
        <v>0</v>
      </c>
      <c r="M13" s="58">
        <f t="shared" si="37"/>
        <v>0</v>
      </c>
      <c r="N13" s="58">
        <f t="shared" si="37"/>
        <v>0</v>
      </c>
      <c r="O13" s="58">
        <f t="shared" si="37"/>
        <v>0</v>
      </c>
      <c r="P13" s="58">
        <f t="shared" si="37"/>
        <v>0</v>
      </c>
      <c r="Q13" s="58">
        <f t="shared" si="37"/>
        <v>0</v>
      </c>
      <c r="R13" s="58">
        <f t="shared" si="37"/>
        <v>0</v>
      </c>
      <c r="S13" s="58">
        <f t="shared" si="37"/>
        <v>0</v>
      </c>
      <c r="T13" s="58">
        <f t="shared" si="37"/>
        <v>0</v>
      </c>
      <c r="U13" s="58">
        <f t="shared" si="37"/>
        <v>0</v>
      </c>
      <c r="V13" s="58">
        <f t="shared" si="37"/>
        <v>0</v>
      </c>
      <c r="W13" s="58">
        <f t="shared" si="37"/>
        <v>0</v>
      </c>
      <c r="X13" s="58">
        <f t="shared" si="37"/>
        <v>0</v>
      </c>
      <c r="Y13" s="58">
        <f t="shared" si="37"/>
        <v>0</v>
      </c>
      <c r="Z13" s="58">
        <f t="shared" si="37"/>
        <v>0</v>
      </c>
      <c r="AA13" s="58">
        <f t="shared" si="37"/>
        <v>0</v>
      </c>
      <c r="AB13" s="21"/>
    </row>
    <row r="14" spans="1:28" s="4" customFormat="1" ht="12" x14ac:dyDescent="0.2">
      <c r="A14" s="21"/>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1"/>
    </row>
    <row r="15" spans="1:28" s="4" customFormat="1" ht="12" x14ac:dyDescent="0.2">
      <c r="A15" s="21" t="s">
        <v>339</v>
      </c>
      <c r="B15" s="24">
        <f>IF(B16&gt;0,B16,0)</f>
        <v>0</v>
      </c>
      <c r="C15" s="24">
        <f>IF(SUM($B$15:B15)&gt;0,0,C16)</f>
        <v>0</v>
      </c>
      <c r="D15" s="24">
        <f>IF(SUM($B$15:C15)&gt;0,0,D16)</f>
        <v>0</v>
      </c>
      <c r="E15" s="24">
        <f>IF(SUM($B$15:D15)&gt;0,0,E16)</f>
        <v>0</v>
      </c>
      <c r="F15" s="24">
        <f>IF(SUM($B$15:E15)&gt;0,0,F16)</f>
        <v>0</v>
      </c>
      <c r="G15" s="24">
        <f>IF(SUM($B$15:F15)&gt;0,0,G16)</f>
        <v>0</v>
      </c>
      <c r="H15" s="24">
        <f>IF(SUM($B$15:G15)&gt;0,0,H16)</f>
        <v>0</v>
      </c>
      <c r="I15" s="24">
        <f>IF(SUM($B$15:H15)&gt;0,0,I16)</f>
        <v>0</v>
      </c>
      <c r="J15" s="24">
        <f>IF(SUM($B$15:I15)&gt;0,0,J16)</f>
        <v>0</v>
      </c>
      <c r="K15" s="24">
        <f>IF(SUM($B$15:J15)&gt;0,0,K16)</f>
        <v>0</v>
      </c>
      <c r="L15" s="24">
        <f>IF(SUM($B$15:K15)&gt;0,0,L16)</f>
        <v>0</v>
      </c>
      <c r="M15" s="24">
        <f>IF(SUM($B$15:L15)&gt;0,0,M16)</f>
        <v>0</v>
      </c>
      <c r="N15" s="24">
        <f>IF(SUM($B$15:M15)&gt;0,0,N16)</f>
        <v>0</v>
      </c>
      <c r="O15" s="24">
        <f>IF(SUM($B$15:N15)&gt;0,0,O16)</f>
        <v>0</v>
      </c>
      <c r="P15" s="24">
        <f>IF(SUM($B$15:O15)&gt;0,0,P16)</f>
        <v>0</v>
      </c>
      <c r="Q15" s="24">
        <f>IF(SUM($B$15:P15)&gt;0,0,Q16)</f>
        <v>0</v>
      </c>
      <c r="R15" s="24">
        <f>IF(SUM($B$15:Q15)&gt;0,0,R16)</f>
        <v>0</v>
      </c>
      <c r="S15" s="24">
        <f>IF(SUM($B$15:R15)&gt;0,0,S16)</f>
        <v>0</v>
      </c>
      <c r="T15" s="24">
        <f>IF(SUM($B$15:S15)&gt;0,0,T16)</f>
        <v>0</v>
      </c>
      <c r="U15" s="24">
        <f>IF(SUM($B$15:T15)&gt;0,0,U16)</f>
        <v>0</v>
      </c>
      <c r="V15" s="24">
        <f>IF(SUM($B$15:U15)&gt;0,0,V16)</f>
        <v>0</v>
      </c>
      <c r="W15" s="24">
        <f>IF(SUM($B$15:V15)&gt;0,0,W16)</f>
        <v>0</v>
      </c>
      <c r="X15" s="24">
        <f>IF(SUM($B$15:W15)&gt;0,0,X16)</f>
        <v>0</v>
      </c>
      <c r="Y15" s="24">
        <f>IF(SUM($B$15:X15)&gt;0,0,Y16)</f>
        <v>0</v>
      </c>
      <c r="Z15" s="24">
        <f>IF(SUM($B$15:Y15)&gt;0,0,Z16)</f>
        <v>0</v>
      </c>
      <c r="AA15" s="24">
        <f>IF(SUM($B$15:Z15)&gt;0,0,AA16)</f>
        <v>0</v>
      </c>
      <c r="AB15" s="21"/>
    </row>
    <row r="16" spans="1:28" s="4" customFormat="1" ht="12" x14ac:dyDescent="0.2">
      <c r="A16" s="21" t="s">
        <v>378</v>
      </c>
      <c r="B16" s="24">
        <f>IF(B2=fin_vv_aanvang_3,fin_vv_omvang_3,
IF(OR(B2&lt;fin_vv_aanvang_3,B2&gt;(fin_vv_aanvang_3+fin_vv_termijn_3)),0,
A16+A19))</f>
        <v>0</v>
      </c>
      <c r="C16" s="24">
        <f t="shared" ref="C16:AA16" si="38">IF(C2=fin_vv_aanvang_3,fin_vv_omvang_3,
IF(OR(C2&lt;fin_vv_aanvang_3,C2&gt;(fin_vv_aanvang_3+fin_vv_termijn_3+fin_vv_aflossingsvrij_3)),0,
B16+C19))</f>
        <v>0</v>
      </c>
      <c r="D16" s="58">
        <f t="shared" si="38"/>
        <v>0</v>
      </c>
      <c r="E16" s="58">
        <f t="shared" si="38"/>
        <v>0</v>
      </c>
      <c r="F16" s="58">
        <f t="shared" si="38"/>
        <v>0</v>
      </c>
      <c r="G16" s="58">
        <f t="shared" si="38"/>
        <v>0</v>
      </c>
      <c r="H16" s="58">
        <f t="shared" si="38"/>
        <v>0</v>
      </c>
      <c r="I16" s="58">
        <f t="shared" si="38"/>
        <v>0</v>
      </c>
      <c r="J16" s="58">
        <f t="shared" si="38"/>
        <v>0</v>
      </c>
      <c r="K16" s="58">
        <f t="shared" si="38"/>
        <v>0</v>
      </c>
      <c r="L16" s="58">
        <f t="shared" si="38"/>
        <v>0</v>
      </c>
      <c r="M16" s="58">
        <f t="shared" si="38"/>
        <v>0</v>
      </c>
      <c r="N16" s="58">
        <f t="shared" si="38"/>
        <v>0</v>
      </c>
      <c r="O16" s="58">
        <f t="shared" si="38"/>
        <v>0</v>
      </c>
      <c r="P16" s="58">
        <f t="shared" si="38"/>
        <v>0</v>
      </c>
      <c r="Q16" s="58">
        <f t="shared" si="38"/>
        <v>0</v>
      </c>
      <c r="R16" s="58">
        <f t="shared" si="38"/>
        <v>0</v>
      </c>
      <c r="S16" s="58">
        <f t="shared" si="38"/>
        <v>0</v>
      </c>
      <c r="T16" s="58">
        <f t="shared" si="38"/>
        <v>0</v>
      </c>
      <c r="U16" s="58">
        <f t="shared" si="38"/>
        <v>0</v>
      </c>
      <c r="V16" s="58">
        <f t="shared" si="38"/>
        <v>0</v>
      </c>
      <c r="W16" s="58">
        <f t="shared" si="38"/>
        <v>0</v>
      </c>
      <c r="X16" s="58">
        <f t="shared" si="38"/>
        <v>0</v>
      </c>
      <c r="Y16" s="58">
        <f t="shared" si="38"/>
        <v>0</v>
      </c>
      <c r="Z16" s="58">
        <f t="shared" si="38"/>
        <v>0</v>
      </c>
      <c r="AA16" s="58">
        <f t="shared" si="38"/>
        <v>0</v>
      </c>
      <c r="AB16" s="21"/>
    </row>
    <row r="17" spans="1:28" s="4" customFormat="1" ht="12" x14ac:dyDescent="0.2">
      <c r="A17" s="21" t="s">
        <v>379</v>
      </c>
      <c r="B17" s="24">
        <f>B18+B19</f>
        <v>0</v>
      </c>
      <c r="C17" s="24">
        <f t="shared" ref="C17:AA17" si="39">C18+C19</f>
        <v>0</v>
      </c>
      <c r="D17" s="24">
        <f t="shared" si="39"/>
        <v>0</v>
      </c>
      <c r="E17" s="24">
        <f t="shared" si="39"/>
        <v>0</v>
      </c>
      <c r="F17" s="24">
        <f t="shared" si="39"/>
        <v>0</v>
      </c>
      <c r="G17" s="24">
        <f t="shared" si="39"/>
        <v>0</v>
      </c>
      <c r="H17" s="24">
        <f t="shared" si="39"/>
        <v>0</v>
      </c>
      <c r="I17" s="24">
        <f t="shared" si="39"/>
        <v>0</v>
      </c>
      <c r="J17" s="24">
        <f t="shared" si="39"/>
        <v>0</v>
      </c>
      <c r="K17" s="24">
        <f t="shared" si="39"/>
        <v>0</v>
      </c>
      <c r="L17" s="24">
        <f t="shared" si="39"/>
        <v>0</v>
      </c>
      <c r="M17" s="24">
        <f t="shared" si="39"/>
        <v>0</v>
      </c>
      <c r="N17" s="24">
        <f t="shared" si="39"/>
        <v>0</v>
      </c>
      <c r="O17" s="24">
        <f t="shared" si="39"/>
        <v>0</v>
      </c>
      <c r="P17" s="24">
        <f t="shared" si="39"/>
        <v>0</v>
      </c>
      <c r="Q17" s="24">
        <f t="shared" si="39"/>
        <v>0</v>
      </c>
      <c r="R17" s="24">
        <f t="shared" si="39"/>
        <v>0</v>
      </c>
      <c r="S17" s="24">
        <f t="shared" si="39"/>
        <v>0</v>
      </c>
      <c r="T17" s="24">
        <f t="shared" si="39"/>
        <v>0</v>
      </c>
      <c r="U17" s="24">
        <f t="shared" si="39"/>
        <v>0</v>
      </c>
      <c r="V17" s="24">
        <f t="shared" si="39"/>
        <v>0</v>
      </c>
      <c r="W17" s="24">
        <f t="shared" si="39"/>
        <v>0</v>
      </c>
      <c r="X17" s="24">
        <f t="shared" si="39"/>
        <v>0</v>
      </c>
      <c r="Y17" s="24">
        <f t="shared" si="39"/>
        <v>0</v>
      </c>
      <c r="Z17" s="24">
        <f t="shared" si="39"/>
        <v>0</v>
      </c>
      <c r="AA17" s="24">
        <f t="shared" si="39"/>
        <v>0</v>
      </c>
      <c r="AB17" s="21"/>
    </row>
    <row r="18" spans="1:28" s="4" customFormat="1" ht="12" x14ac:dyDescent="0.2">
      <c r="A18" s="21" t="s">
        <v>340</v>
      </c>
      <c r="B18" s="24">
        <v>0</v>
      </c>
      <c r="C18" s="24">
        <f t="shared" ref="C18:AA18" si="40">-B16*fin_vv_rente_3</f>
        <v>0</v>
      </c>
      <c r="D18" s="24">
        <f t="shared" si="40"/>
        <v>0</v>
      </c>
      <c r="E18" s="24">
        <f t="shared" si="40"/>
        <v>0</v>
      </c>
      <c r="F18" s="24">
        <f t="shared" si="40"/>
        <v>0</v>
      </c>
      <c r="G18" s="24">
        <f t="shared" si="40"/>
        <v>0</v>
      </c>
      <c r="H18" s="24">
        <f t="shared" si="40"/>
        <v>0</v>
      </c>
      <c r="I18" s="24">
        <f t="shared" si="40"/>
        <v>0</v>
      </c>
      <c r="J18" s="24">
        <f t="shared" si="40"/>
        <v>0</v>
      </c>
      <c r="K18" s="24">
        <f t="shared" si="40"/>
        <v>0</v>
      </c>
      <c r="L18" s="24">
        <f t="shared" si="40"/>
        <v>0</v>
      </c>
      <c r="M18" s="24">
        <f t="shared" si="40"/>
        <v>0</v>
      </c>
      <c r="N18" s="24">
        <f t="shared" si="40"/>
        <v>0</v>
      </c>
      <c r="O18" s="24">
        <f t="shared" si="40"/>
        <v>0</v>
      </c>
      <c r="P18" s="24">
        <f t="shared" si="40"/>
        <v>0</v>
      </c>
      <c r="Q18" s="24">
        <f t="shared" si="40"/>
        <v>0</v>
      </c>
      <c r="R18" s="24">
        <f t="shared" si="40"/>
        <v>0</v>
      </c>
      <c r="S18" s="24">
        <f t="shared" si="40"/>
        <v>0</v>
      </c>
      <c r="T18" s="24">
        <f t="shared" si="40"/>
        <v>0</v>
      </c>
      <c r="U18" s="24">
        <f t="shared" si="40"/>
        <v>0</v>
      </c>
      <c r="V18" s="24">
        <f t="shared" si="40"/>
        <v>0</v>
      </c>
      <c r="W18" s="24">
        <f t="shared" si="40"/>
        <v>0</v>
      </c>
      <c r="X18" s="24">
        <f t="shared" si="40"/>
        <v>0</v>
      </c>
      <c r="Y18" s="24">
        <f t="shared" si="40"/>
        <v>0</v>
      </c>
      <c r="Z18" s="24">
        <f t="shared" si="40"/>
        <v>0</v>
      </c>
      <c r="AA18" s="24">
        <f t="shared" si="40"/>
        <v>0</v>
      </c>
      <c r="AB18" s="21"/>
    </row>
    <row r="19" spans="1:28" s="4" customFormat="1" ht="12" x14ac:dyDescent="0.2">
      <c r="A19" s="21" t="s">
        <v>341</v>
      </c>
      <c r="B19" s="24">
        <v>0</v>
      </c>
      <c r="C19" s="24">
        <f t="shared" ref="C19:AA19" si="41">IF((fin_vv_aflossingsvrij_3+fin_vv_aanvang_3)&gt;=C2,0,IF(B16&gt;1,-fin_vv_omvang_3/fin_vv_termijn_3,0))</f>
        <v>0</v>
      </c>
      <c r="D19" s="58">
        <f t="shared" si="41"/>
        <v>0</v>
      </c>
      <c r="E19" s="58">
        <f t="shared" si="41"/>
        <v>0</v>
      </c>
      <c r="F19" s="58">
        <f t="shared" si="41"/>
        <v>0</v>
      </c>
      <c r="G19" s="58">
        <f t="shared" si="41"/>
        <v>0</v>
      </c>
      <c r="H19" s="58">
        <f t="shared" si="41"/>
        <v>0</v>
      </c>
      <c r="I19" s="58">
        <f t="shared" si="41"/>
        <v>0</v>
      </c>
      <c r="J19" s="58">
        <f t="shared" si="41"/>
        <v>0</v>
      </c>
      <c r="K19" s="58">
        <f t="shared" si="41"/>
        <v>0</v>
      </c>
      <c r="L19" s="58">
        <f t="shared" si="41"/>
        <v>0</v>
      </c>
      <c r="M19" s="58">
        <f t="shared" si="41"/>
        <v>0</v>
      </c>
      <c r="N19" s="58">
        <f t="shared" si="41"/>
        <v>0</v>
      </c>
      <c r="O19" s="58">
        <f t="shared" si="41"/>
        <v>0</v>
      </c>
      <c r="P19" s="58">
        <f t="shared" si="41"/>
        <v>0</v>
      </c>
      <c r="Q19" s="58">
        <f t="shared" si="41"/>
        <v>0</v>
      </c>
      <c r="R19" s="58">
        <f t="shared" si="41"/>
        <v>0</v>
      </c>
      <c r="S19" s="58">
        <f t="shared" si="41"/>
        <v>0</v>
      </c>
      <c r="T19" s="58">
        <f t="shared" si="41"/>
        <v>0</v>
      </c>
      <c r="U19" s="58">
        <f t="shared" si="41"/>
        <v>0</v>
      </c>
      <c r="V19" s="58">
        <f t="shared" si="41"/>
        <v>0</v>
      </c>
      <c r="W19" s="58">
        <f t="shared" si="41"/>
        <v>0</v>
      </c>
      <c r="X19" s="58">
        <f t="shared" si="41"/>
        <v>0</v>
      </c>
      <c r="Y19" s="58">
        <f t="shared" si="41"/>
        <v>0</v>
      </c>
      <c r="Z19" s="58">
        <f t="shared" si="41"/>
        <v>0</v>
      </c>
      <c r="AA19" s="58">
        <f t="shared" si="41"/>
        <v>0</v>
      </c>
      <c r="AB19" s="21"/>
    </row>
    <row r="20" spans="1:28" s="4" customFormat="1" ht="12" x14ac:dyDescent="0.2">
      <c r="A20" s="21"/>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1"/>
    </row>
    <row r="21" spans="1:28" s="4" customFormat="1" ht="12" x14ac:dyDescent="0.2">
      <c r="A21" s="21" t="s">
        <v>129</v>
      </c>
      <c r="B21" s="24">
        <f>IF(B22&gt;0,B22,0)</f>
        <v>0</v>
      </c>
      <c r="C21" s="24">
        <f>IF(SUM($B$21:B21)&gt;0,0,C22)</f>
        <v>0</v>
      </c>
      <c r="D21" s="58">
        <f>IF(SUM($B$21:C21)&gt;0,0,D22)</f>
        <v>0</v>
      </c>
      <c r="E21" s="58">
        <f>IF(SUM($B$21:D21)&gt;0,0,E22)</f>
        <v>0</v>
      </c>
      <c r="F21" s="58">
        <f>IF(SUM($B$21:E21)&gt;0,0,F22)</f>
        <v>0</v>
      </c>
      <c r="G21" s="58">
        <f>IF(SUM($B$21:F21)&gt;0,0,G22)</f>
        <v>0</v>
      </c>
      <c r="H21" s="58">
        <f>IF(SUM($B$21:G21)&gt;0,0,H22)</f>
        <v>0</v>
      </c>
      <c r="I21" s="58">
        <f>IF(SUM($B$21:H21)&gt;0,0,I22)</f>
        <v>0</v>
      </c>
      <c r="J21" s="58">
        <f>IF(SUM($B$21:I21)&gt;0,0,J22)</f>
        <v>0</v>
      </c>
      <c r="K21" s="58">
        <f>IF(SUM($B$21:J21)&gt;0,0,K22)</f>
        <v>0</v>
      </c>
      <c r="L21" s="58">
        <f>IF(SUM($B$21:K21)&gt;0,0,L22)</f>
        <v>0</v>
      </c>
      <c r="M21" s="58">
        <f>IF(SUM($B$21:L21)&gt;0,0,M22)</f>
        <v>0</v>
      </c>
      <c r="N21" s="58">
        <f>IF(SUM($B$21:M21)&gt;0,0,N22)</f>
        <v>0</v>
      </c>
      <c r="O21" s="58">
        <f>IF(SUM($B$21:N21)&gt;0,0,O22)</f>
        <v>0</v>
      </c>
      <c r="P21" s="58">
        <f>IF(SUM($B$21:O21)&gt;0,0,P22)</f>
        <v>0</v>
      </c>
      <c r="Q21" s="58">
        <f>IF(SUM($B$21:P21)&gt;0,0,Q22)</f>
        <v>0</v>
      </c>
      <c r="R21" s="58">
        <f>IF(SUM($B$21:Q21)&gt;0,0,R22)</f>
        <v>0</v>
      </c>
      <c r="S21" s="58">
        <f>IF(SUM($B$21:R21)&gt;0,0,S22)</f>
        <v>0</v>
      </c>
      <c r="T21" s="58">
        <f>IF(SUM($B$21:S21)&gt;0,0,T22)</f>
        <v>0</v>
      </c>
      <c r="U21" s="58">
        <f>IF(SUM($B$21:T21)&gt;0,0,U22)</f>
        <v>0</v>
      </c>
      <c r="V21" s="58">
        <f>IF(SUM($B$21:U21)&gt;0,0,V22)</f>
        <v>0</v>
      </c>
      <c r="W21" s="58">
        <f>IF(SUM($B$21:V21)&gt;0,0,W22)</f>
        <v>0</v>
      </c>
      <c r="X21" s="58">
        <f>IF(SUM($B$21:W21)&gt;0,0,X22)</f>
        <v>0</v>
      </c>
      <c r="Y21" s="58">
        <f>IF(SUM($B$21:X21)&gt;0,0,Y22)</f>
        <v>0</v>
      </c>
      <c r="Z21" s="58">
        <f>IF(SUM($B$21:Y21)&gt;0,0,Z22)</f>
        <v>0</v>
      </c>
      <c r="AA21" s="58">
        <f>IF(SUM($B$21:Z21)&gt;0,0,AA22)</f>
        <v>0</v>
      </c>
      <c r="AB21" s="21"/>
    </row>
    <row r="22" spans="1:28" s="4" customFormat="1" ht="12" x14ac:dyDescent="0.2">
      <c r="A22" s="21" t="s">
        <v>97</v>
      </c>
      <c r="B22" s="24">
        <f>IF(B2=fin_vv_aanvang_4,fin_vv_omvang_4,
IF(OR(B2&lt;fin_vv_aanvang_4,B2&gt;(fin_vv_aanvang_4+fin_vv_termijn_4)),0,
A22+A25))</f>
        <v>0</v>
      </c>
      <c r="C22" s="24">
        <f t="shared" ref="C22:AA22" si="42">IF(C2=fin_vv_aanvang_4,fin_vv_omvang_4,
IF(OR(C2&lt;fin_vv_aanvang_4,C2&gt;(fin_vv_aanvang_4+fin_vv_termijn_4+fin_vv_aflossingsvrij_4)),0,
B22+C25))</f>
        <v>0</v>
      </c>
      <c r="D22" s="58">
        <f t="shared" si="42"/>
        <v>0</v>
      </c>
      <c r="E22" s="58">
        <f t="shared" si="42"/>
        <v>0</v>
      </c>
      <c r="F22" s="58">
        <f t="shared" si="42"/>
        <v>0</v>
      </c>
      <c r="G22" s="58">
        <f t="shared" si="42"/>
        <v>0</v>
      </c>
      <c r="H22" s="58">
        <f t="shared" si="42"/>
        <v>0</v>
      </c>
      <c r="I22" s="58">
        <f t="shared" si="42"/>
        <v>0</v>
      </c>
      <c r="J22" s="58">
        <f t="shared" si="42"/>
        <v>0</v>
      </c>
      <c r="K22" s="58">
        <f t="shared" si="42"/>
        <v>0</v>
      </c>
      <c r="L22" s="58">
        <f t="shared" si="42"/>
        <v>0</v>
      </c>
      <c r="M22" s="58">
        <f t="shared" si="42"/>
        <v>0</v>
      </c>
      <c r="N22" s="58">
        <f t="shared" si="42"/>
        <v>0</v>
      </c>
      <c r="O22" s="58">
        <f t="shared" si="42"/>
        <v>0</v>
      </c>
      <c r="P22" s="58">
        <f t="shared" si="42"/>
        <v>0</v>
      </c>
      <c r="Q22" s="58">
        <f t="shared" si="42"/>
        <v>0</v>
      </c>
      <c r="R22" s="58">
        <f t="shared" si="42"/>
        <v>0</v>
      </c>
      <c r="S22" s="58">
        <f t="shared" si="42"/>
        <v>0</v>
      </c>
      <c r="T22" s="58">
        <f t="shared" si="42"/>
        <v>0</v>
      </c>
      <c r="U22" s="58">
        <f t="shared" si="42"/>
        <v>0</v>
      </c>
      <c r="V22" s="58">
        <f t="shared" si="42"/>
        <v>0</v>
      </c>
      <c r="W22" s="58">
        <f t="shared" si="42"/>
        <v>0</v>
      </c>
      <c r="X22" s="58">
        <f t="shared" si="42"/>
        <v>0</v>
      </c>
      <c r="Y22" s="58">
        <f t="shared" si="42"/>
        <v>0</v>
      </c>
      <c r="Z22" s="58">
        <f t="shared" si="42"/>
        <v>0</v>
      </c>
      <c r="AA22" s="58">
        <f t="shared" si="42"/>
        <v>0</v>
      </c>
      <c r="AB22" s="21"/>
    </row>
    <row r="23" spans="1:28" s="4" customFormat="1" ht="12" x14ac:dyDescent="0.2">
      <c r="A23" s="21" t="s">
        <v>98</v>
      </c>
      <c r="B23" s="24">
        <f>B24+B25</f>
        <v>0</v>
      </c>
      <c r="C23" s="24">
        <f t="shared" ref="C23:AA23" si="43">C24+C25</f>
        <v>0</v>
      </c>
      <c r="D23" s="58">
        <f t="shared" si="43"/>
        <v>0</v>
      </c>
      <c r="E23" s="58">
        <f t="shared" si="43"/>
        <v>0</v>
      </c>
      <c r="F23" s="58">
        <f t="shared" si="43"/>
        <v>0</v>
      </c>
      <c r="G23" s="58">
        <f t="shared" si="43"/>
        <v>0</v>
      </c>
      <c r="H23" s="58">
        <f t="shared" si="43"/>
        <v>0</v>
      </c>
      <c r="I23" s="58">
        <f t="shared" si="43"/>
        <v>0</v>
      </c>
      <c r="J23" s="58">
        <f t="shared" si="43"/>
        <v>0</v>
      </c>
      <c r="K23" s="58">
        <f t="shared" si="43"/>
        <v>0</v>
      </c>
      <c r="L23" s="58">
        <f t="shared" si="43"/>
        <v>0</v>
      </c>
      <c r="M23" s="58">
        <f t="shared" si="43"/>
        <v>0</v>
      </c>
      <c r="N23" s="58">
        <f t="shared" si="43"/>
        <v>0</v>
      </c>
      <c r="O23" s="58">
        <f t="shared" si="43"/>
        <v>0</v>
      </c>
      <c r="P23" s="58">
        <f t="shared" si="43"/>
        <v>0</v>
      </c>
      <c r="Q23" s="58">
        <f t="shared" si="43"/>
        <v>0</v>
      </c>
      <c r="R23" s="58">
        <f t="shared" si="43"/>
        <v>0</v>
      </c>
      <c r="S23" s="58">
        <f t="shared" si="43"/>
        <v>0</v>
      </c>
      <c r="T23" s="58">
        <f t="shared" si="43"/>
        <v>0</v>
      </c>
      <c r="U23" s="58">
        <f t="shared" si="43"/>
        <v>0</v>
      </c>
      <c r="V23" s="58">
        <f t="shared" si="43"/>
        <v>0</v>
      </c>
      <c r="W23" s="58">
        <f t="shared" si="43"/>
        <v>0</v>
      </c>
      <c r="X23" s="58">
        <f t="shared" si="43"/>
        <v>0</v>
      </c>
      <c r="Y23" s="58">
        <f t="shared" si="43"/>
        <v>0</v>
      </c>
      <c r="Z23" s="58">
        <f t="shared" si="43"/>
        <v>0</v>
      </c>
      <c r="AA23" s="58">
        <f t="shared" si="43"/>
        <v>0</v>
      </c>
      <c r="AB23" s="21"/>
    </row>
    <row r="24" spans="1:28" s="4" customFormat="1" ht="12" x14ac:dyDescent="0.2">
      <c r="A24" s="21" t="s">
        <v>99</v>
      </c>
      <c r="B24" s="24">
        <v>0</v>
      </c>
      <c r="C24" s="24">
        <f t="shared" ref="C24" si="44">-B22*fin_vv_rente_4</f>
        <v>0</v>
      </c>
      <c r="D24" s="58">
        <f t="shared" ref="D24" si="45">-C22*fin_vv_rente_4</f>
        <v>0</v>
      </c>
      <c r="E24" s="58">
        <f t="shared" ref="E24" si="46">-D22*fin_vv_rente_4</f>
        <v>0</v>
      </c>
      <c r="F24" s="58">
        <f t="shared" ref="F24" si="47">-E22*fin_vv_rente_4</f>
        <v>0</v>
      </c>
      <c r="G24" s="58">
        <f t="shared" ref="G24" si="48">-F22*fin_vv_rente_4</f>
        <v>0</v>
      </c>
      <c r="H24" s="58">
        <f t="shared" ref="H24" si="49">-G22*fin_vv_rente_4</f>
        <v>0</v>
      </c>
      <c r="I24" s="58">
        <f t="shared" ref="I24" si="50">-H22*fin_vv_rente_4</f>
        <v>0</v>
      </c>
      <c r="J24" s="58">
        <f t="shared" ref="J24" si="51">-I22*fin_vv_rente_4</f>
        <v>0</v>
      </c>
      <c r="K24" s="58">
        <f t="shared" ref="K24" si="52">-J22*fin_vv_rente_4</f>
        <v>0</v>
      </c>
      <c r="L24" s="58">
        <f t="shared" ref="L24" si="53">-K22*fin_vv_rente_4</f>
        <v>0</v>
      </c>
      <c r="M24" s="58">
        <f t="shared" ref="M24" si="54">-L22*fin_vv_rente_4</f>
        <v>0</v>
      </c>
      <c r="N24" s="58">
        <f t="shared" ref="N24" si="55">-M22*fin_vv_rente_4</f>
        <v>0</v>
      </c>
      <c r="O24" s="58">
        <f t="shared" ref="O24" si="56">-N22*fin_vv_rente_4</f>
        <v>0</v>
      </c>
      <c r="P24" s="58">
        <f t="shared" ref="P24" si="57">-O22*fin_vv_rente_4</f>
        <v>0</v>
      </c>
      <c r="Q24" s="58">
        <f t="shared" ref="Q24" si="58">-P22*fin_vv_rente_4</f>
        <v>0</v>
      </c>
      <c r="R24" s="58">
        <f t="shared" ref="R24" si="59">-Q22*fin_vv_rente_4</f>
        <v>0</v>
      </c>
      <c r="S24" s="58">
        <f t="shared" ref="S24" si="60">-R22*fin_vv_rente_4</f>
        <v>0</v>
      </c>
      <c r="T24" s="58">
        <f t="shared" ref="T24" si="61">-S22*fin_vv_rente_4</f>
        <v>0</v>
      </c>
      <c r="U24" s="58">
        <f t="shared" ref="U24" si="62">-T22*fin_vv_rente_4</f>
        <v>0</v>
      </c>
      <c r="V24" s="58">
        <f t="shared" ref="V24" si="63">-U22*fin_vv_rente_4</f>
        <v>0</v>
      </c>
      <c r="W24" s="58">
        <f t="shared" ref="W24" si="64">-V22*fin_vv_rente_4</f>
        <v>0</v>
      </c>
      <c r="X24" s="58">
        <f t="shared" ref="X24" si="65">-W22*fin_vv_rente_4</f>
        <v>0</v>
      </c>
      <c r="Y24" s="58">
        <f t="shared" ref="Y24" si="66">-X22*fin_vv_rente_4</f>
        <v>0</v>
      </c>
      <c r="Z24" s="58">
        <f t="shared" ref="Z24" si="67">-Y22*fin_vv_rente_4</f>
        <v>0</v>
      </c>
      <c r="AA24" s="58">
        <f t="shared" ref="AA24" si="68">-Z22*fin_vv_rente_4</f>
        <v>0</v>
      </c>
      <c r="AB24" s="21"/>
    </row>
    <row r="25" spans="1:28" s="4" customFormat="1" ht="12" x14ac:dyDescent="0.2">
      <c r="A25" s="21" t="s">
        <v>100</v>
      </c>
      <c r="B25" s="24">
        <v>0</v>
      </c>
      <c r="C25" s="24">
        <f t="shared" ref="C25:AA25" si="69">IF((fin_vv_aflossingsvrij_4+fin_vv_aanvang_4)&gt;=C2,0,IF(B22&gt;1,-fin_vv_omvang_4/fin_vv_termijn_4,0))</f>
        <v>0</v>
      </c>
      <c r="D25" s="58">
        <f t="shared" si="69"/>
        <v>0</v>
      </c>
      <c r="E25" s="58">
        <f t="shared" si="69"/>
        <v>0</v>
      </c>
      <c r="F25" s="58">
        <f t="shared" si="69"/>
        <v>0</v>
      </c>
      <c r="G25" s="58">
        <f t="shared" si="69"/>
        <v>0</v>
      </c>
      <c r="H25" s="58">
        <f t="shared" si="69"/>
        <v>0</v>
      </c>
      <c r="I25" s="58">
        <f t="shared" si="69"/>
        <v>0</v>
      </c>
      <c r="J25" s="58">
        <f t="shared" si="69"/>
        <v>0</v>
      </c>
      <c r="K25" s="58">
        <f t="shared" si="69"/>
        <v>0</v>
      </c>
      <c r="L25" s="58">
        <f t="shared" si="69"/>
        <v>0</v>
      </c>
      <c r="M25" s="58">
        <f t="shared" si="69"/>
        <v>0</v>
      </c>
      <c r="N25" s="58">
        <f t="shared" si="69"/>
        <v>0</v>
      </c>
      <c r="O25" s="58">
        <f t="shared" si="69"/>
        <v>0</v>
      </c>
      <c r="P25" s="58">
        <f t="shared" si="69"/>
        <v>0</v>
      </c>
      <c r="Q25" s="58">
        <f t="shared" si="69"/>
        <v>0</v>
      </c>
      <c r="R25" s="58">
        <f t="shared" si="69"/>
        <v>0</v>
      </c>
      <c r="S25" s="58">
        <f t="shared" si="69"/>
        <v>0</v>
      </c>
      <c r="T25" s="58">
        <f t="shared" si="69"/>
        <v>0</v>
      </c>
      <c r="U25" s="58">
        <f t="shared" si="69"/>
        <v>0</v>
      </c>
      <c r="V25" s="58">
        <f t="shared" si="69"/>
        <v>0</v>
      </c>
      <c r="W25" s="58">
        <f t="shared" si="69"/>
        <v>0</v>
      </c>
      <c r="X25" s="58">
        <f t="shared" si="69"/>
        <v>0</v>
      </c>
      <c r="Y25" s="58">
        <f t="shared" si="69"/>
        <v>0</v>
      </c>
      <c r="Z25" s="58">
        <f t="shared" si="69"/>
        <v>0</v>
      </c>
      <c r="AA25" s="58">
        <f t="shared" si="69"/>
        <v>0</v>
      </c>
      <c r="AB25" s="21"/>
    </row>
    <row r="26" spans="1:28" s="4" customFormat="1" ht="12" x14ac:dyDescent="0.2">
      <c r="A26" s="21"/>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1"/>
    </row>
    <row r="27" spans="1:28" s="4" customFormat="1" ht="12" x14ac:dyDescent="0.2">
      <c r="A27" s="21" t="s">
        <v>130</v>
      </c>
      <c r="B27" s="24">
        <f>IF(B28&gt;0,B28,0)</f>
        <v>0</v>
      </c>
      <c r="C27" s="24">
        <f>IF(SUM($B$3:B27)&gt;0,0,C28)</f>
        <v>0</v>
      </c>
      <c r="D27" s="24">
        <f>IF(SUM($B$3:C27)&gt;0,0,D28)</f>
        <v>0</v>
      </c>
      <c r="E27" s="24">
        <f>IF(SUM($B$3:D27)&gt;0,0,E28)</f>
        <v>0</v>
      </c>
      <c r="F27" s="24">
        <f>IF(SUM($B$3:E27)&gt;0,0,F28)</f>
        <v>0</v>
      </c>
      <c r="G27" s="24">
        <f>IF(SUM($B$3:F27)&gt;0,0,G28)</f>
        <v>0</v>
      </c>
      <c r="H27" s="24">
        <f>IF(SUM($B$3:G27)&gt;0,0,H28)</f>
        <v>0</v>
      </c>
      <c r="I27" s="24">
        <f>IF(SUM($B$3:H27)&gt;0,0,I28)</f>
        <v>0</v>
      </c>
      <c r="J27" s="24">
        <f>IF(SUM($B$3:I27)&gt;0,0,J28)</f>
        <v>0</v>
      </c>
      <c r="K27" s="24">
        <f>IF(SUM($B$3:J27)&gt;0,0,K28)</f>
        <v>0</v>
      </c>
      <c r="L27" s="24">
        <f>IF(SUM($B$3:K27)&gt;0,0,L28)</f>
        <v>0</v>
      </c>
      <c r="M27" s="24">
        <f>IF(SUM($B$3:L27)&gt;0,0,M28)</f>
        <v>0</v>
      </c>
      <c r="N27" s="24">
        <f>IF(SUM($B$3:M27)&gt;0,0,N28)</f>
        <v>0</v>
      </c>
      <c r="O27" s="24">
        <f>IF(SUM($B$3:N27)&gt;0,0,O28)</f>
        <v>0</v>
      </c>
      <c r="P27" s="24">
        <f>IF(SUM($B$3:O27)&gt;0,0,P28)</f>
        <v>0</v>
      </c>
      <c r="Q27" s="24">
        <f>IF(SUM($B$3:P27)&gt;0,0,Q28)</f>
        <v>0</v>
      </c>
      <c r="R27" s="24">
        <f>IF(SUM($B$3:Q27)&gt;0,0,R28)</f>
        <v>0</v>
      </c>
      <c r="S27" s="24">
        <f>IF(SUM($B$3:R27)&gt;0,0,S28)</f>
        <v>0</v>
      </c>
      <c r="T27" s="24">
        <f>IF(SUM($B$3:S27)&gt;0,0,T28)</f>
        <v>0</v>
      </c>
      <c r="U27" s="24">
        <f>IF(SUM($B$3:T27)&gt;0,0,U28)</f>
        <v>0</v>
      </c>
      <c r="V27" s="24">
        <f>IF(SUM($B$3:U27)&gt;0,0,V28)</f>
        <v>0</v>
      </c>
      <c r="W27" s="24">
        <f>IF(SUM($B$3:V27)&gt;0,0,W28)</f>
        <v>0</v>
      </c>
      <c r="X27" s="24">
        <f>IF(SUM($B$3:W27)&gt;0,0,X28)</f>
        <v>0</v>
      </c>
      <c r="Y27" s="24">
        <f>IF(SUM($B$3:X27)&gt;0,0,Y28)</f>
        <v>0</v>
      </c>
      <c r="Z27" s="24">
        <f>IF(SUM($B$3:Y27)&gt;0,0,Z28)</f>
        <v>0</v>
      </c>
      <c r="AA27" s="24">
        <f>IF(SUM($B$3:Z27)&gt;0,0,AA28)</f>
        <v>0</v>
      </c>
      <c r="AB27" s="21"/>
    </row>
    <row r="28" spans="1:28" s="4" customFormat="1" ht="12" x14ac:dyDescent="0.2">
      <c r="A28" s="21" t="s">
        <v>101</v>
      </c>
      <c r="B28" s="24">
        <f>IF(OR(B2&lt;fin_vv_aanvang_5,B2&gt;=(fin_vv_aanvang_5+fin_vv_termijn_5)),0,fin_vv_omvang_5)</f>
        <v>0</v>
      </c>
      <c r="C28" s="24">
        <f t="shared" ref="C28:AA28" si="70">IF(OR(C2&lt;fin_vv_aanvang_5,C2&gt;=(fin_vv_aanvang_5+fin_vv_termijn_5)),0,fin_vv_omvang_5)</f>
        <v>0</v>
      </c>
      <c r="D28" s="24">
        <f t="shared" si="70"/>
        <v>0</v>
      </c>
      <c r="E28" s="24">
        <f t="shared" si="70"/>
        <v>0</v>
      </c>
      <c r="F28" s="24">
        <f t="shared" si="70"/>
        <v>0</v>
      </c>
      <c r="G28" s="24">
        <f t="shared" si="70"/>
        <v>0</v>
      </c>
      <c r="H28" s="24">
        <f t="shared" si="70"/>
        <v>0</v>
      </c>
      <c r="I28" s="24">
        <f t="shared" si="70"/>
        <v>0</v>
      </c>
      <c r="J28" s="24">
        <f t="shared" si="70"/>
        <v>0</v>
      </c>
      <c r="K28" s="24">
        <f t="shared" si="70"/>
        <v>0</v>
      </c>
      <c r="L28" s="24">
        <f t="shared" si="70"/>
        <v>0</v>
      </c>
      <c r="M28" s="24">
        <f t="shared" si="70"/>
        <v>0</v>
      </c>
      <c r="N28" s="24">
        <f t="shared" si="70"/>
        <v>0</v>
      </c>
      <c r="O28" s="24">
        <f t="shared" si="70"/>
        <v>0</v>
      </c>
      <c r="P28" s="24">
        <f t="shared" si="70"/>
        <v>0</v>
      </c>
      <c r="Q28" s="24">
        <f t="shared" si="70"/>
        <v>0</v>
      </c>
      <c r="R28" s="24">
        <f t="shared" si="70"/>
        <v>0</v>
      </c>
      <c r="S28" s="24">
        <f t="shared" si="70"/>
        <v>0</v>
      </c>
      <c r="T28" s="24">
        <f t="shared" si="70"/>
        <v>0</v>
      </c>
      <c r="U28" s="24">
        <f t="shared" si="70"/>
        <v>0</v>
      </c>
      <c r="V28" s="24">
        <f t="shared" si="70"/>
        <v>0</v>
      </c>
      <c r="W28" s="24">
        <f t="shared" si="70"/>
        <v>0</v>
      </c>
      <c r="X28" s="24">
        <f t="shared" si="70"/>
        <v>0</v>
      </c>
      <c r="Y28" s="24">
        <f t="shared" si="70"/>
        <v>0</v>
      </c>
      <c r="Z28" s="24">
        <f t="shared" si="70"/>
        <v>0</v>
      </c>
      <c r="AA28" s="24">
        <f t="shared" si="70"/>
        <v>0</v>
      </c>
      <c r="AB28" s="21"/>
    </row>
    <row r="29" spans="1:28" s="4" customFormat="1" ht="12" x14ac:dyDescent="0.2">
      <c r="A29" s="21" t="s">
        <v>102</v>
      </c>
      <c r="B29" s="24">
        <f>B30+B31</f>
        <v>0</v>
      </c>
      <c r="C29" s="24">
        <f t="shared" ref="C29:AA29" si="71">C30+C31</f>
        <v>0</v>
      </c>
      <c r="D29" s="24">
        <f t="shared" si="71"/>
        <v>0</v>
      </c>
      <c r="E29" s="24">
        <f t="shared" si="71"/>
        <v>0</v>
      </c>
      <c r="F29" s="24">
        <f t="shared" si="71"/>
        <v>0</v>
      </c>
      <c r="G29" s="24">
        <f t="shared" si="71"/>
        <v>0</v>
      </c>
      <c r="H29" s="24">
        <f t="shared" si="71"/>
        <v>0</v>
      </c>
      <c r="I29" s="24">
        <f t="shared" si="71"/>
        <v>0</v>
      </c>
      <c r="J29" s="24">
        <f t="shared" si="71"/>
        <v>0</v>
      </c>
      <c r="K29" s="24">
        <f t="shared" si="71"/>
        <v>0</v>
      </c>
      <c r="L29" s="24">
        <f>L30+L31</f>
        <v>0</v>
      </c>
      <c r="M29" s="24">
        <f t="shared" si="71"/>
        <v>0</v>
      </c>
      <c r="N29" s="24">
        <f t="shared" si="71"/>
        <v>0</v>
      </c>
      <c r="O29" s="24">
        <f t="shared" si="71"/>
        <v>0</v>
      </c>
      <c r="P29" s="24">
        <f t="shared" si="71"/>
        <v>0</v>
      </c>
      <c r="Q29" s="24">
        <f t="shared" si="71"/>
        <v>0</v>
      </c>
      <c r="R29" s="24">
        <f t="shared" si="71"/>
        <v>0</v>
      </c>
      <c r="S29" s="24">
        <f t="shared" si="71"/>
        <v>0</v>
      </c>
      <c r="T29" s="24">
        <f t="shared" si="71"/>
        <v>0</v>
      </c>
      <c r="U29" s="24">
        <f t="shared" si="71"/>
        <v>0</v>
      </c>
      <c r="V29" s="24">
        <f t="shared" si="71"/>
        <v>0</v>
      </c>
      <c r="W29" s="24">
        <f t="shared" si="71"/>
        <v>0</v>
      </c>
      <c r="X29" s="24">
        <f t="shared" si="71"/>
        <v>0</v>
      </c>
      <c r="Y29" s="24">
        <f t="shared" si="71"/>
        <v>0</v>
      </c>
      <c r="Z29" s="24">
        <f t="shared" si="71"/>
        <v>0</v>
      </c>
      <c r="AA29" s="24">
        <f t="shared" si="71"/>
        <v>0</v>
      </c>
      <c r="AB29" s="21"/>
    </row>
    <row r="30" spans="1:28" s="4" customFormat="1" ht="12" x14ac:dyDescent="0.2">
      <c r="A30" s="21" t="s">
        <v>103</v>
      </c>
      <c r="B30" s="24">
        <v>0</v>
      </c>
      <c r="C30" s="24">
        <f>IF(B28&gt;0,-fin_vv_omvang_5*fin_vv_rente_5,0)</f>
        <v>0</v>
      </c>
      <c r="D30" s="24">
        <f t="shared" ref="D30:AA30" si="72">IF(C28&gt;0,-fin_vv_omvang_5*fin_vv_rente_5,0)</f>
        <v>0</v>
      </c>
      <c r="E30" s="24">
        <f t="shared" si="72"/>
        <v>0</v>
      </c>
      <c r="F30" s="24">
        <f t="shared" si="72"/>
        <v>0</v>
      </c>
      <c r="G30" s="24">
        <f t="shared" si="72"/>
        <v>0</v>
      </c>
      <c r="H30" s="24">
        <f t="shared" si="72"/>
        <v>0</v>
      </c>
      <c r="I30" s="24">
        <f t="shared" si="72"/>
        <v>0</v>
      </c>
      <c r="J30" s="24">
        <f t="shared" si="72"/>
        <v>0</v>
      </c>
      <c r="K30" s="24">
        <f t="shared" si="72"/>
        <v>0</v>
      </c>
      <c r="L30" s="24">
        <f t="shared" si="72"/>
        <v>0</v>
      </c>
      <c r="M30" s="24">
        <f t="shared" si="72"/>
        <v>0</v>
      </c>
      <c r="N30" s="24">
        <f t="shared" si="72"/>
        <v>0</v>
      </c>
      <c r="O30" s="24">
        <f t="shared" si="72"/>
        <v>0</v>
      </c>
      <c r="P30" s="24">
        <f t="shared" si="72"/>
        <v>0</v>
      </c>
      <c r="Q30" s="24">
        <f t="shared" si="72"/>
        <v>0</v>
      </c>
      <c r="R30" s="24">
        <f t="shared" si="72"/>
        <v>0</v>
      </c>
      <c r="S30" s="24">
        <f t="shared" si="72"/>
        <v>0</v>
      </c>
      <c r="T30" s="24">
        <f t="shared" si="72"/>
        <v>0</v>
      </c>
      <c r="U30" s="24">
        <f t="shared" si="72"/>
        <v>0</v>
      </c>
      <c r="V30" s="24">
        <f t="shared" si="72"/>
        <v>0</v>
      </c>
      <c r="W30" s="24">
        <f t="shared" si="72"/>
        <v>0</v>
      </c>
      <c r="X30" s="24">
        <f t="shared" si="72"/>
        <v>0</v>
      </c>
      <c r="Y30" s="24">
        <f t="shared" si="72"/>
        <v>0</v>
      </c>
      <c r="Z30" s="24">
        <f t="shared" si="72"/>
        <v>0</v>
      </c>
      <c r="AA30" s="24">
        <f t="shared" si="72"/>
        <v>0</v>
      </c>
      <c r="AB30" s="21"/>
    </row>
    <row r="31" spans="1:28" s="4" customFormat="1" ht="12" x14ac:dyDescent="0.2">
      <c r="A31" s="21" t="s">
        <v>104</v>
      </c>
      <c r="B31" s="24">
        <f t="shared" ref="B31:AA31" si="73">IF(B2=(fin_vv_aanvang_5+fin_vv_termijn_5),-fin_vv_omvang_5,0)</f>
        <v>0</v>
      </c>
      <c r="C31" s="24">
        <f t="shared" si="73"/>
        <v>0</v>
      </c>
      <c r="D31" s="24">
        <f t="shared" si="73"/>
        <v>0</v>
      </c>
      <c r="E31" s="24">
        <f t="shared" si="73"/>
        <v>0</v>
      </c>
      <c r="F31" s="24">
        <f t="shared" si="73"/>
        <v>0</v>
      </c>
      <c r="G31" s="24">
        <f t="shared" si="73"/>
        <v>0</v>
      </c>
      <c r="H31" s="24">
        <f t="shared" si="73"/>
        <v>0</v>
      </c>
      <c r="I31" s="24">
        <f t="shared" si="73"/>
        <v>0</v>
      </c>
      <c r="J31" s="24">
        <f t="shared" si="73"/>
        <v>0</v>
      </c>
      <c r="K31" s="24">
        <f t="shared" si="73"/>
        <v>0</v>
      </c>
      <c r="L31" s="24">
        <f t="shared" si="73"/>
        <v>0</v>
      </c>
      <c r="M31" s="24">
        <f t="shared" si="73"/>
        <v>0</v>
      </c>
      <c r="N31" s="24">
        <f t="shared" si="73"/>
        <v>0</v>
      </c>
      <c r="O31" s="24">
        <f t="shared" si="73"/>
        <v>0</v>
      </c>
      <c r="P31" s="24">
        <f t="shared" si="73"/>
        <v>0</v>
      </c>
      <c r="Q31" s="24">
        <f t="shared" si="73"/>
        <v>0</v>
      </c>
      <c r="R31" s="24">
        <f t="shared" si="73"/>
        <v>0</v>
      </c>
      <c r="S31" s="24">
        <f t="shared" si="73"/>
        <v>0</v>
      </c>
      <c r="T31" s="24">
        <f t="shared" si="73"/>
        <v>0</v>
      </c>
      <c r="U31" s="24">
        <f t="shared" si="73"/>
        <v>0</v>
      </c>
      <c r="V31" s="24">
        <f t="shared" si="73"/>
        <v>0</v>
      </c>
      <c r="W31" s="24">
        <f t="shared" si="73"/>
        <v>0</v>
      </c>
      <c r="X31" s="24">
        <f t="shared" si="73"/>
        <v>0</v>
      </c>
      <c r="Y31" s="24">
        <f t="shared" si="73"/>
        <v>0</v>
      </c>
      <c r="Z31" s="24">
        <f t="shared" si="73"/>
        <v>0</v>
      </c>
      <c r="AA31" s="24">
        <f t="shared" si="73"/>
        <v>0</v>
      </c>
      <c r="AB31" s="21"/>
    </row>
    <row r="32" spans="1:28" s="4" customFormat="1" ht="12" x14ac:dyDescent="0.2">
      <c r="A32" s="21"/>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1"/>
    </row>
    <row r="33" spans="1:28" s="4" customFormat="1" ht="12" x14ac:dyDescent="0.2">
      <c r="A33" s="21" t="s">
        <v>342</v>
      </c>
      <c r="B33" s="24">
        <f>IF(B34&gt;0,B34,0)</f>
        <v>0</v>
      </c>
      <c r="C33" s="24">
        <f>IF(SUM($B$33:B33)&gt;0,0,C34)</f>
        <v>0</v>
      </c>
      <c r="D33" s="24">
        <f>IF(SUM($B$33:C33)&gt;0,0,D34)</f>
        <v>0</v>
      </c>
      <c r="E33" s="24">
        <f>IF(SUM($B$33:D33)&gt;0,0,E34)</f>
        <v>0</v>
      </c>
      <c r="F33" s="24">
        <f>IF(SUM($B$33:E33)&gt;0,0,F34)</f>
        <v>0</v>
      </c>
      <c r="G33" s="24">
        <f>IF(SUM($B$33:F33)&gt;0,0,G34)</f>
        <v>0</v>
      </c>
      <c r="H33" s="24">
        <f>IF(SUM($B$33:G33)&gt;0,0,H34)</f>
        <v>0</v>
      </c>
      <c r="I33" s="24">
        <f>IF(SUM($B$33:H33)&gt;0,0,I34)</f>
        <v>0</v>
      </c>
      <c r="J33" s="24">
        <f>IF(SUM($B$33:I33)&gt;0,0,J34)</f>
        <v>0</v>
      </c>
      <c r="K33" s="24">
        <f>IF(SUM($B$33:J33)&gt;0,0,K34)</f>
        <v>0</v>
      </c>
      <c r="L33" s="24">
        <f>IF(SUM($B$33:K33)&gt;0,0,L34)</f>
        <v>0</v>
      </c>
      <c r="M33" s="24">
        <f>IF(SUM($B$33:L33)&gt;0,0,M34)</f>
        <v>0</v>
      </c>
      <c r="N33" s="24">
        <f>IF(SUM($B$33:M33)&gt;0,0,N34)</f>
        <v>0</v>
      </c>
      <c r="O33" s="24">
        <f>IF(SUM($B$33:N33)&gt;0,0,O34)</f>
        <v>0</v>
      </c>
      <c r="P33" s="24">
        <f>IF(SUM($B$33:O33)&gt;0,0,P34)</f>
        <v>0</v>
      </c>
      <c r="Q33" s="24">
        <f>IF(SUM($B$33:P33)&gt;0,0,Q34)</f>
        <v>0</v>
      </c>
      <c r="R33" s="24">
        <f>IF(SUM($B$33:Q33)&gt;0,0,R34)</f>
        <v>0</v>
      </c>
      <c r="S33" s="24">
        <f>IF(SUM($B$33:R33)&gt;0,0,S34)</f>
        <v>0</v>
      </c>
      <c r="T33" s="24">
        <f>IF(SUM($B$33:S33)&gt;0,0,T34)</f>
        <v>0</v>
      </c>
      <c r="U33" s="24">
        <f>IF(SUM($B$33:T33)&gt;0,0,U34)</f>
        <v>0</v>
      </c>
      <c r="V33" s="24">
        <f>IF(SUM($B$33:U33)&gt;0,0,V34)</f>
        <v>0</v>
      </c>
      <c r="W33" s="24">
        <f>IF(SUM($B$33:V33)&gt;0,0,W34)</f>
        <v>0</v>
      </c>
      <c r="X33" s="24">
        <f>IF(SUM($B$33:W33)&gt;0,0,X34)</f>
        <v>0</v>
      </c>
      <c r="Y33" s="24">
        <f>IF(SUM($B$33:X33)&gt;0,0,Y34)</f>
        <v>0</v>
      </c>
      <c r="Z33" s="24">
        <f>IF(SUM($B$33:Y33)&gt;0,0,Z34)</f>
        <v>0</v>
      </c>
      <c r="AA33" s="24">
        <f>IF(SUM($B$33:Z33)&gt;0,0,AA34)</f>
        <v>0</v>
      </c>
      <c r="AB33" s="21"/>
    </row>
    <row r="34" spans="1:28" s="4" customFormat="1" ht="12" x14ac:dyDescent="0.2">
      <c r="A34" s="21" t="s">
        <v>380</v>
      </c>
      <c r="B34" s="24">
        <f>IF(OR(B2&lt;fin_vv_aanvang_6,B2&gt;(fin_vv_aanvang_6+fin_vv_termijn_6)),0,fin_vv_omvang_6)</f>
        <v>0</v>
      </c>
      <c r="C34" s="24">
        <f t="shared" ref="C34:AA34" si="74">IF(OR(C2&lt;fin_vv_aanvang_6,C2&gt;=(fin_vv_aanvang_6+fin_vv_termijn_6)),0,fin_vv_omvang_6)</f>
        <v>0</v>
      </c>
      <c r="D34" s="24">
        <f t="shared" si="74"/>
        <v>0</v>
      </c>
      <c r="E34" s="24">
        <f t="shared" si="74"/>
        <v>0</v>
      </c>
      <c r="F34" s="24">
        <f t="shared" si="74"/>
        <v>0</v>
      </c>
      <c r="G34" s="24">
        <f t="shared" si="74"/>
        <v>0</v>
      </c>
      <c r="H34" s="24">
        <f t="shared" si="74"/>
        <v>0</v>
      </c>
      <c r="I34" s="24">
        <f t="shared" si="74"/>
        <v>0</v>
      </c>
      <c r="J34" s="24">
        <f t="shared" si="74"/>
        <v>0</v>
      </c>
      <c r="K34" s="24">
        <f t="shared" si="74"/>
        <v>0</v>
      </c>
      <c r="L34" s="24">
        <f t="shared" si="74"/>
        <v>0</v>
      </c>
      <c r="M34" s="24">
        <f t="shared" si="74"/>
        <v>0</v>
      </c>
      <c r="N34" s="24">
        <f t="shared" si="74"/>
        <v>0</v>
      </c>
      <c r="O34" s="24">
        <f t="shared" si="74"/>
        <v>0</v>
      </c>
      <c r="P34" s="24">
        <f t="shared" si="74"/>
        <v>0</v>
      </c>
      <c r="Q34" s="24">
        <f t="shared" si="74"/>
        <v>0</v>
      </c>
      <c r="R34" s="24">
        <f t="shared" si="74"/>
        <v>0</v>
      </c>
      <c r="S34" s="24">
        <f t="shared" si="74"/>
        <v>0</v>
      </c>
      <c r="T34" s="24">
        <f t="shared" si="74"/>
        <v>0</v>
      </c>
      <c r="U34" s="24">
        <f t="shared" si="74"/>
        <v>0</v>
      </c>
      <c r="V34" s="24">
        <f t="shared" si="74"/>
        <v>0</v>
      </c>
      <c r="W34" s="24">
        <f t="shared" si="74"/>
        <v>0</v>
      </c>
      <c r="X34" s="24">
        <f t="shared" si="74"/>
        <v>0</v>
      </c>
      <c r="Y34" s="24">
        <f t="shared" si="74"/>
        <v>0</v>
      </c>
      <c r="Z34" s="24">
        <f t="shared" si="74"/>
        <v>0</v>
      </c>
      <c r="AA34" s="24">
        <f t="shared" si="74"/>
        <v>0</v>
      </c>
      <c r="AB34" s="21"/>
    </row>
    <row r="35" spans="1:28" s="4" customFormat="1" ht="12" x14ac:dyDescent="0.2">
      <c r="A35" s="21" t="s">
        <v>381</v>
      </c>
      <c r="B35" s="24">
        <f>B36+B37</f>
        <v>0</v>
      </c>
      <c r="C35" s="24">
        <f t="shared" ref="C35:AA35" si="75">C36+C37</f>
        <v>0</v>
      </c>
      <c r="D35" s="24">
        <f t="shared" si="75"/>
        <v>0</v>
      </c>
      <c r="E35" s="24">
        <f t="shared" si="75"/>
        <v>0</v>
      </c>
      <c r="F35" s="24">
        <f t="shared" si="75"/>
        <v>0</v>
      </c>
      <c r="G35" s="24">
        <f t="shared" si="75"/>
        <v>0</v>
      </c>
      <c r="H35" s="24">
        <f t="shared" si="75"/>
        <v>0</v>
      </c>
      <c r="I35" s="24">
        <f t="shared" si="75"/>
        <v>0</v>
      </c>
      <c r="J35" s="24">
        <f t="shared" si="75"/>
        <v>0</v>
      </c>
      <c r="K35" s="24">
        <f t="shared" si="75"/>
        <v>0</v>
      </c>
      <c r="L35" s="24">
        <f t="shared" si="75"/>
        <v>0</v>
      </c>
      <c r="M35" s="24">
        <f t="shared" si="75"/>
        <v>0</v>
      </c>
      <c r="N35" s="24">
        <f t="shared" si="75"/>
        <v>0</v>
      </c>
      <c r="O35" s="24">
        <f t="shared" si="75"/>
        <v>0</v>
      </c>
      <c r="P35" s="24">
        <f t="shared" si="75"/>
        <v>0</v>
      </c>
      <c r="Q35" s="24">
        <f t="shared" si="75"/>
        <v>0</v>
      </c>
      <c r="R35" s="24">
        <f t="shared" si="75"/>
        <v>0</v>
      </c>
      <c r="S35" s="24">
        <f t="shared" si="75"/>
        <v>0</v>
      </c>
      <c r="T35" s="24">
        <f t="shared" si="75"/>
        <v>0</v>
      </c>
      <c r="U35" s="24">
        <f t="shared" si="75"/>
        <v>0</v>
      </c>
      <c r="V35" s="24">
        <f t="shared" si="75"/>
        <v>0</v>
      </c>
      <c r="W35" s="24">
        <f t="shared" si="75"/>
        <v>0</v>
      </c>
      <c r="X35" s="24">
        <f t="shared" si="75"/>
        <v>0</v>
      </c>
      <c r="Y35" s="24">
        <f t="shared" si="75"/>
        <v>0</v>
      </c>
      <c r="Z35" s="24">
        <f t="shared" si="75"/>
        <v>0</v>
      </c>
      <c r="AA35" s="24">
        <f t="shared" si="75"/>
        <v>0</v>
      </c>
      <c r="AB35" s="21"/>
    </row>
    <row r="36" spans="1:28" s="4" customFormat="1" ht="12" x14ac:dyDescent="0.2">
      <c r="A36" s="21" t="s">
        <v>343</v>
      </c>
      <c r="B36" s="24">
        <v>0</v>
      </c>
      <c r="C36" s="24">
        <f t="shared" ref="C36:AA36" si="76">IF(B34&gt;0,-fin_vv_omvang_6*fin_vv_rente_6,0)</f>
        <v>0</v>
      </c>
      <c r="D36" s="24">
        <f t="shared" si="76"/>
        <v>0</v>
      </c>
      <c r="E36" s="24">
        <f t="shared" si="76"/>
        <v>0</v>
      </c>
      <c r="F36" s="24">
        <f t="shared" si="76"/>
        <v>0</v>
      </c>
      <c r="G36" s="24">
        <f t="shared" si="76"/>
        <v>0</v>
      </c>
      <c r="H36" s="24">
        <f t="shared" si="76"/>
        <v>0</v>
      </c>
      <c r="I36" s="24">
        <f t="shared" si="76"/>
        <v>0</v>
      </c>
      <c r="J36" s="24">
        <f t="shared" si="76"/>
        <v>0</v>
      </c>
      <c r="K36" s="24">
        <f t="shared" si="76"/>
        <v>0</v>
      </c>
      <c r="L36" s="24">
        <f t="shared" si="76"/>
        <v>0</v>
      </c>
      <c r="M36" s="24">
        <f t="shared" si="76"/>
        <v>0</v>
      </c>
      <c r="N36" s="24">
        <f t="shared" si="76"/>
        <v>0</v>
      </c>
      <c r="O36" s="24">
        <f t="shared" si="76"/>
        <v>0</v>
      </c>
      <c r="P36" s="24">
        <f t="shared" si="76"/>
        <v>0</v>
      </c>
      <c r="Q36" s="24">
        <f t="shared" si="76"/>
        <v>0</v>
      </c>
      <c r="R36" s="24">
        <f t="shared" si="76"/>
        <v>0</v>
      </c>
      <c r="S36" s="24">
        <f t="shared" si="76"/>
        <v>0</v>
      </c>
      <c r="T36" s="24">
        <f t="shared" si="76"/>
        <v>0</v>
      </c>
      <c r="U36" s="24">
        <f t="shared" si="76"/>
        <v>0</v>
      </c>
      <c r="V36" s="24">
        <f t="shared" si="76"/>
        <v>0</v>
      </c>
      <c r="W36" s="24">
        <f t="shared" si="76"/>
        <v>0</v>
      </c>
      <c r="X36" s="24">
        <f t="shared" si="76"/>
        <v>0</v>
      </c>
      <c r="Y36" s="24">
        <f t="shared" si="76"/>
        <v>0</v>
      </c>
      <c r="Z36" s="24">
        <f t="shared" si="76"/>
        <v>0</v>
      </c>
      <c r="AA36" s="24">
        <f t="shared" si="76"/>
        <v>0</v>
      </c>
      <c r="AB36" s="21"/>
    </row>
    <row r="37" spans="1:28" s="4" customFormat="1" ht="12" x14ac:dyDescent="0.2">
      <c r="A37" s="21" t="s">
        <v>344</v>
      </c>
      <c r="B37" s="24">
        <f t="shared" ref="B37:AA37" si="77">IF(B2=(fin_vv_aanvang_6+fin_vv_termijn_6),-fin_vv_omvang_6,0)</f>
        <v>0</v>
      </c>
      <c r="C37" s="24">
        <f t="shared" si="77"/>
        <v>0</v>
      </c>
      <c r="D37" s="24">
        <f t="shared" si="77"/>
        <v>0</v>
      </c>
      <c r="E37" s="24">
        <f t="shared" si="77"/>
        <v>0</v>
      </c>
      <c r="F37" s="24">
        <f t="shared" si="77"/>
        <v>0</v>
      </c>
      <c r="G37" s="24">
        <f t="shared" si="77"/>
        <v>0</v>
      </c>
      <c r="H37" s="24">
        <f t="shared" si="77"/>
        <v>0</v>
      </c>
      <c r="I37" s="24">
        <f t="shared" si="77"/>
        <v>0</v>
      </c>
      <c r="J37" s="24">
        <f t="shared" si="77"/>
        <v>0</v>
      </c>
      <c r="K37" s="24">
        <f t="shared" si="77"/>
        <v>0</v>
      </c>
      <c r="L37" s="24">
        <f t="shared" si="77"/>
        <v>0</v>
      </c>
      <c r="M37" s="24">
        <f t="shared" si="77"/>
        <v>0</v>
      </c>
      <c r="N37" s="24">
        <f t="shared" si="77"/>
        <v>0</v>
      </c>
      <c r="O37" s="24">
        <f t="shared" si="77"/>
        <v>0</v>
      </c>
      <c r="P37" s="24">
        <f t="shared" si="77"/>
        <v>0</v>
      </c>
      <c r="Q37" s="24">
        <f t="shared" si="77"/>
        <v>0</v>
      </c>
      <c r="R37" s="24">
        <f t="shared" si="77"/>
        <v>0</v>
      </c>
      <c r="S37" s="24">
        <f t="shared" si="77"/>
        <v>0</v>
      </c>
      <c r="T37" s="24">
        <f t="shared" si="77"/>
        <v>0</v>
      </c>
      <c r="U37" s="24">
        <f t="shared" si="77"/>
        <v>0</v>
      </c>
      <c r="V37" s="24">
        <f t="shared" si="77"/>
        <v>0</v>
      </c>
      <c r="W37" s="24">
        <f t="shared" si="77"/>
        <v>0</v>
      </c>
      <c r="X37" s="24">
        <f t="shared" si="77"/>
        <v>0</v>
      </c>
      <c r="Y37" s="24">
        <f t="shared" si="77"/>
        <v>0</v>
      </c>
      <c r="Z37" s="24">
        <f t="shared" si="77"/>
        <v>0</v>
      </c>
      <c r="AA37" s="24">
        <f t="shared" si="77"/>
        <v>0</v>
      </c>
      <c r="AB37" s="21"/>
    </row>
    <row r="38" spans="1:28" s="4" customFormat="1" ht="12" x14ac:dyDescent="0.2">
      <c r="A38" s="2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1"/>
    </row>
    <row r="39" spans="1:28" ht="15.75" thickBot="1" x14ac:dyDescent="0.3">
      <c r="A39" s="1"/>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1"/>
    </row>
    <row r="40" spans="1:28" x14ac:dyDescent="0.25">
      <c r="A40" s="14" t="s">
        <v>53</v>
      </c>
      <c r="B40" s="15">
        <f t="shared" ref="B40:AA40" si="78">B4+B10+B16+B22+B28+B34</f>
        <v>6750000</v>
      </c>
      <c r="C40" s="15">
        <f t="shared" si="78"/>
        <v>6750000</v>
      </c>
      <c r="D40" s="15">
        <f t="shared" si="78"/>
        <v>6750000</v>
      </c>
      <c r="E40" s="15">
        <f t="shared" si="78"/>
        <v>6411806.2642378984</v>
      </c>
      <c r="F40" s="15">
        <f t="shared" si="78"/>
        <v>6069554.2036466515</v>
      </c>
      <c r="G40" s="15">
        <f t="shared" si="78"/>
        <v>5723195.1183283096</v>
      </c>
      <c r="H40" s="15">
        <f t="shared" si="78"/>
        <v>5372679.723986147</v>
      </c>
      <c r="I40" s="15">
        <f t="shared" si="78"/>
        <v>5017958.1449118787</v>
      </c>
      <c r="J40" s="15">
        <f t="shared" si="78"/>
        <v>4658979.9068887196</v>
      </c>
      <c r="K40" s="15">
        <f t="shared" si="78"/>
        <v>4295693.9300092822</v>
      </c>
      <c r="L40" s="15">
        <f t="shared" si="78"/>
        <v>3928048.5214072918</v>
      </c>
      <c r="M40" s="15">
        <f t="shared" si="78"/>
        <v>3555991.3679020773</v>
      </c>
      <c r="N40" s="15">
        <f t="shared" si="78"/>
        <v>3179469.5285548004</v>
      </c>
      <c r="O40" s="15">
        <f t="shared" si="78"/>
        <v>2798429.4271353562</v>
      </c>
      <c r="P40" s="15">
        <f t="shared" si="78"/>
        <v>2412816.8444988783</v>
      </c>
      <c r="Q40" s="15">
        <f t="shared" si="78"/>
        <v>2022576.910870763</v>
      </c>
      <c r="R40" s="15">
        <f t="shared" si="78"/>
        <v>1627654.0980391102</v>
      </c>
      <c r="S40" s="15">
        <f t="shared" si="78"/>
        <v>1227992.2114534776</v>
      </c>
      <c r="T40" s="15">
        <f t="shared" si="78"/>
        <v>823534.38222881733</v>
      </c>
      <c r="U40" s="15">
        <f t="shared" si="78"/>
        <v>414223.05905346118</v>
      </c>
      <c r="V40" s="15">
        <f t="shared" si="78"/>
        <v>7.5669959187507629E-10</v>
      </c>
      <c r="W40" s="15">
        <f t="shared" si="78"/>
        <v>0</v>
      </c>
      <c r="X40" s="15">
        <f t="shared" si="78"/>
        <v>0</v>
      </c>
      <c r="Y40" s="15">
        <f t="shared" si="78"/>
        <v>0</v>
      </c>
      <c r="Z40" s="15">
        <f t="shared" si="78"/>
        <v>0</v>
      </c>
      <c r="AA40" s="15">
        <f t="shared" si="78"/>
        <v>0</v>
      </c>
      <c r="AB40" s="1"/>
    </row>
    <row r="41" spans="1:28" ht="15.75" thickBot="1" x14ac:dyDescent="0.3">
      <c r="A41" s="16" t="s">
        <v>52</v>
      </c>
      <c r="B41" s="17">
        <f t="shared" ref="B41:AA41" si="79">B6+B12+B18+B24+B30+B36</f>
        <v>0</v>
      </c>
      <c r="C41" s="17">
        <f>C6+C12+C18+C24+C30+C36</f>
        <v>-81000</v>
      </c>
      <c r="D41" s="17">
        <f t="shared" si="79"/>
        <v>-81000</v>
      </c>
      <c r="E41" s="17">
        <f t="shared" si="79"/>
        <v>-81000</v>
      </c>
      <c r="F41" s="17">
        <f t="shared" si="79"/>
        <v>-76941.675170854782</v>
      </c>
      <c r="G41" s="17">
        <f t="shared" si="79"/>
        <v>-72834.65044375982</v>
      </c>
      <c r="H41" s="17">
        <f t="shared" si="79"/>
        <v>-68678.341419939723</v>
      </c>
      <c r="I41" s="17">
        <f t="shared" si="79"/>
        <v>-64472.156687833762</v>
      </c>
      <c r="J41" s="17">
        <f t="shared" si="79"/>
        <v>-60215.497738942548</v>
      </c>
      <c r="K41" s="17">
        <f t="shared" si="79"/>
        <v>-55907.758882664639</v>
      </c>
      <c r="L41" s="17">
        <f t="shared" si="79"/>
        <v>-51548.327160111388</v>
      </c>
      <c r="M41" s="17">
        <f t="shared" si="79"/>
        <v>-47136.582256887501</v>
      </c>
      <c r="N41" s="17">
        <f t="shared" si="79"/>
        <v>-42671.896414824929</v>
      </c>
      <c r="O41" s="17">
        <f t="shared" si="79"/>
        <v>-38153.634342657606</v>
      </c>
      <c r="P41" s="17">
        <f t="shared" si="79"/>
        <v>-33581.153125624274</v>
      </c>
      <c r="Q41" s="17">
        <f t="shared" si="79"/>
        <v>-28953.802133986541</v>
      </c>
      <c r="R41" s="17">
        <f t="shared" si="79"/>
        <v>-24270.922930449156</v>
      </c>
      <c r="S41" s="17">
        <f t="shared" si="79"/>
        <v>-19531.849176469324</v>
      </c>
      <c r="T41" s="17">
        <f t="shared" si="79"/>
        <v>-14735.906537441731</v>
      </c>
      <c r="U41" s="17">
        <f t="shared" si="79"/>
        <v>-9882.4125867458079</v>
      </c>
      <c r="V41" s="17">
        <f t="shared" si="79"/>
        <v>-4970.6767086415339</v>
      </c>
      <c r="W41" s="17">
        <f t="shared" si="79"/>
        <v>-9.0803951025009155E-12</v>
      </c>
      <c r="X41" s="17">
        <f t="shared" si="79"/>
        <v>0</v>
      </c>
      <c r="Y41" s="17">
        <f t="shared" si="79"/>
        <v>0</v>
      </c>
      <c r="Z41" s="17">
        <f t="shared" si="79"/>
        <v>0</v>
      </c>
      <c r="AA41" s="17">
        <f t="shared" si="79"/>
        <v>0</v>
      </c>
      <c r="AB41" s="1"/>
    </row>
    <row r="42" spans="1:28"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x14ac:dyDescent="0.25"/>
    <row r="44" spans="1:28" x14ac:dyDescent="0.25"/>
    <row r="45" spans="1:28" x14ac:dyDescent="0.25"/>
    <row r="46" spans="1:28" x14ac:dyDescent="0.25"/>
    <row r="47" spans="1:28" x14ac:dyDescent="0.25"/>
    <row r="48" spans="1:2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sheetData>
  <sheetProtection algorithmName="SHA-512" hashValue="n26Bl/9ZwHPwaYAmuf490VVxNapI+zdnx0llixDrf/17PRvIuop4d3BaXoM4S78BYT6F3h3GThEyEkyr8oTa2g==" saltValue="qnJSXG2ot6sMb6qSumaG0w==" spinCount="100000" sheet="1" objects="1" scenarios="1"/>
  <conditionalFormatting sqref="A2:AA2 A3:A38">
    <cfRule type="cellIs" dxfId="2" priority="31" operator="lessThan">
      <formula>0</formula>
    </cfRule>
  </conditionalFormatting>
  <conditionalFormatting sqref="A40">
    <cfRule type="cellIs" dxfId="1" priority="14" operator="lessThan">
      <formula>0</formula>
    </cfRule>
  </conditionalFormatting>
  <conditionalFormatting sqref="A41">
    <cfRule type="cellIs" dxfId="0" priority="12" operator="lessThan">
      <formula>0</formula>
    </cfRule>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B41"/>
  <sheetViews>
    <sheetView zoomScale="115" zoomScaleNormal="115" zoomScalePageLayoutView="160" workbookViewId="0">
      <selection activeCell="E6" sqref="E6"/>
    </sheetView>
  </sheetViews>
  <sheetFormatPr defaultColWidth="8.85546875" defaultRowHeight="15" x14ac:dyDescent="0.25"/>
  <cols>
    <col min="1" max="1" width="30.7109375" customWidth="1"/>
    <col min="2" max="2" width="3.42578125" customWidth="1"/>
    <col min="3" max="28" width="7.7109375" customWidth="1"/>
  </cols>
  <sheetData>
    <row r="1" spans="1:28" x14ac:dyDescent="0.25">
      <c r="A1" s="5" t="s">
        <v>28</v>
      </c>
      <c r="B1" s="5"/>
      <c r="C1" s="6">
        <v>0</v>
      </c>
      <c r="D1" s="6">
        <v>1</v>
      </c>
      <c r="E1" s="6">
        <v>2</v>
      </c>
      <c r="F1" s="6">
        <v>3</v>
      </c>
      <c r="G1" s="6">
        <v>4</v>
      </c>
      <c r="H1" s="6">
        <v>5</v>
      </c>
      <c r="I1" s="6">
        <v>6</v>
      </c>
      <c r="J1" s="6">
        <v>7</v>
      </c>
      <c r="K1" s="6">
        <v>8</v>
      </c>
      <c r="L1" s="6">
        <v>9</v>
      </c>
      <c r="M1" s="6">
        <v>10</v>
      </c>
      <c r="N1" s="6">
        <v>11</v>
      </c>
      <c r="O1" s="6">
        <v>12</v>
      </c>
      <c r="P1" s="6">
        <v>13</v>
      </c>
      <c r="Q1" s="6">
        <v>14</v>
      </c>
      <c r="R1" s="6">
        <v>15</v>
      </c>
      <c r="S1" s="6">
        <v>16</v>
      </c>
      <c r="T1" s="6">
        <v>17</v>
      </c>
      <c r="U1" s="6">
        <v>18</v>
      </c>
      <c r="V1" s="6">
        <v>19</v>
      </c>
      <c r="W1" s="6">
        <v>20</v>
      </c>
      <c r="X1" s="6">
        <v>21</v>
      </c>
      <c r="Y1" s="6">
        <v>22</v>
      </c>
      <c r="Z1" s="6">
        <v>23</v>
      </c>
      <c r="AA1" s="6">
        <v>24</v>
      </c>
      <c r="AB1" s="6">
        <v>25</v>
      </c>
    </row>
    <row r="2" spans="1:28" x14ac:dyDescent="0.25">
      <c r="A2" s="10" t="s">
        <v>65</v>
      </c>
      <c r="B2" s="10"/>
      <c r="C2" s="36">
        <f>pen_aanvang</f>
        <v>0.5</v>
      </c>
      <c r="D2" s="36">
        <f t="shared" ref="D2:AB2" si="0">C2+(pen_max-C2)*pen_groei</f>
        <v>0.51</v>
      </c>
      <c r="E2" s="36">
        <f t="shared" si="0"/>
        <v>0.51960000000000006</v>
      </c>
      <c r="F2" s="36">
        <f t="shared" si="0"/>
        <v>0.52881600000000006</v>
      </c>
      <c r="G2" s="36">
        <f t="shared" si="0"/>
        <v>0.53766336000000003</v>
      </c>
      <c r="H2" s="36">
        <f t="shared" si="0"/>
        <v>0.54615682560000001</v>
      </c>
      <c r="I2" s="36">
        <f t="shared" si="0"/>
        <v>0.55431055257600004</v>
      </c>
      <c r="J2" s="36">
        <f t="shared" si="0"/>
        <v>0.56213813047296002</v>
      </c>
      <c r="K2" s="36">
        <f t="shared" si="0"/>
        <v>0.5696526052540416</v>
      </c>
      <c r="L2" s="36">
        <f t="shared" si="0"/>
        <v>0.57686650104387993</v>
      </c>
      <c r="M2" s="36">
        <f t="shared" si="0"/>
        <v>0.58379184100212478</v>
      </c>
      <c r="N2" s="36">
        <f t="shared" si="0"/>
        <v>0.59044016736203975</v>
      </c>
      <c r="O2" s="36">
        <f t="shared" si="0"/>
        <v>0.59682256066755812</v>
      </c>
      <c r="P2" s="36">
        <f t="shared" si="0"/>
        <v>0.60294965824085578</v>
      </c>
      <c r="Q2" s="36">
        <f t="shared" si="0"/>
        <v>0.60883167191122156</v>
      </c>
      <c r="R2" s="36">
        <f t="shared" si="0"/>
        <v>0.61447840503477269</v>
      </c>
      <c r="S2" s="36">
        <f t="shared" si="0"/>
        <v>0.61989926883338176</v>
      </c>
      <c r="T2" s="36">
        <f t="shared" si="0"/>
        <v>0.6251032980800465</v>
      </c>
      <c r="U2" s="36">
        <f t="shared" si="0"/>
        <v>0.63009916615684469</v>
      </c>
      <c r="V2" s="36">
        <f t="shared" si="0"/>
        <v>0.63489519951057094</v>
      </c>
      <c r="W2" s="36">
        <f t="shared" si="0"/>
        <v>0.63949939153014812</v>
      </c>
      <c r="X2" s="36">
        <f t="shared" si="0"/>
        <v>0.64391941586894219</v>
      </c>
      <c r="Y2" s="36">
        <f t="shared" si="0"/>
        <v>0.64816263923418449</v>
      </c>
      <c r="Z2" s="36">
        <f t="shared" si="0"/>
        <v>0.65223613366481714</v>
      </c>
      <c r="AA2" s="36">
        <f t="shared" si="0"/>
        <v>0.65614668831822442</v>
      </c>
      <c r="AB2" s="36">
        <f t="shared" si="0"/>
        <v>0.6599008207854955</v>
      </c>
    </row>
    <row r="3" spans="1:28" x14ac:dyDescent="0.25">
      <c r="A3" s="10" t="s">
        <v>411</v>
      </c>
      <c r="B3" s="10"/>
      <c r="C3" s="33"/>
      <c r="D3" s="37">
        <f>D2-C2</f>
        <v>1.0000000000000009E-2</v>
      </c>
      <c r="E3" s="37">
        <f t="shared" ref="E3:AB3" si="1">E2-D2</f>
        <v>9.6000000000000529E-3</v>
      </c>
      <c r="F3" s="37">
        <f t="shared" si="1"/>
        <v>9.216000000000002E-3</v>
      </c>
      <c r="G3" s="37">
        <f t="shared" si="1"/>
        <v>8.8473599999999708E-3</v>
      </c>
      <c r="H3" s="37">
        <f t="shared" si="1"/>
        <v>8.493465599999972E-3</v>
      </c>
      <c r="I3" s="37">
        <f t="shared" si="1"/>
        <v>8.1537269760000308E-3</v>
      </c>
      <c r="J3" s="37">
        <f t="shared" si="1"/>
        <v>7.8275778969599807E-3</v>
      </c>
      <c r="K3" s="37">
        <f t="shared" si="1"/>
        <v>7.5144747810815815E-3</v>
      </c>
      <c r="L3" s="37">
        <f t="shared" si="1"/>
        <v>7.2138957898383316E-3</v>
      </c>
      <c r="M3" s="37">
        <f t="shared" si="1"/>
        <v>6.9253399582448472E-3</v>
      </c>
      <c r="N3" s="37">
        <f t="shared" si="1"/>
        <v>6.6483263599149689E-3</v>
      </c>
      <c r="O3" s="37">
        <f t="shared" si="1"/>
        <v>6.3823933055183746E-3</v>
      </c>
      <c r="P3" s="37">
        <f t="shared" si="1"/>
        <v>6.1270975732976574E-3</v>
      </c>
      <c r="Q3" s="37">
        <f t="shared" si="1"/>
        <v>5.8820136703657822E-3</v>
      </c>
      <c r="R3" s="37">
        <f t="shared" si="1"/>
        <v>5.6467331235511287E-3</v>
      </c>
      <c r="S3" s="37">
        <f t="shared" si="1"/>
        <v>5.4208637986090658E-3</v>
      </c>
      <c r="T3" s="37">
        <f t="shared" si="1"/>
        <v>5.2040292466647431E-3</v>
      </c>
      <c r="U3" s="37">
        <f t="shared" si="1"/>
        <v>4.9958680767981933E-3</v>
      </c>
      <c r="V3" s="37">
        <f t="shared" si="1"/>
        <v>4.7960333537262478E-3</v>
      </c>
      <c r="W3" s="37">
        <f t="shared" si="1"/>
        <v>4.6041920195771802E-3</v>
      </c>
      <c r="X3" s="37">
        <f t="shared" si="1"/>
        <v>4.4200243387940708E-3</v>
      </c>
      <c r="Y3" s="37">
        <f t="shared" si="1"/>
        <v>4.243223365242299E-3</v>
      </c>
      <c r="Z3" s="37">
        <f t="shared" si="1"/>
        <v>4.0734944306326515E-3</v>
      </c>
      <c r="AA3" s="37">
        <f t="shared" si="1"/>
        <v>3.9105546534072833E-3</v>
      </c>
      <c r="AB3" s="37">
        <f t="shared" si="1"/>
        <v>3.7541324672710763E-3</v>
      </c>
    </row>
    <row r="4" spans="1:28" x14ac:dyDescent="0.25">
      <c r="A4" s="10"/>
      <c r="B4" s="10"/>
      <c r="C4" s="33"/>
      <c r="D4" s="37"/>
      <c r="E4" s="37"/>
      <c r="F4" s="37"/>
      <c r="G4" s="37"/>
      <c r="H4" s="37"/>
      <c r="I4" s="37"/>
      <c r="J4" s="37"/>
      <c r="K4" s="37"/>
      <c r="L4" s="37"/>
      <c r="M4" s="37"/>
      <c r="N4" s="37"/>
      <c r="O4" s="37"/>
      <c r="P4" s="37"/>
      <c r="Q4" s="37"/>
      <c r="R4" s="37"/>
      <c r="S4" s="37"/>
      <c r="T4" s="37"/>
      <c r="U4" s="37"/>
      <c r="V4" s="37"/>
      <c r="W4" s="37"/>
      <c r="X4" s="37"/>
      <c r="Y4" s="37"/>
      <c r="Z4" s="37"/>
      <c r="AA4" s="37"/>
      <c r="AB4" s="37"/>
    </row>
    <row r="5" spans="1:28" x14ac:dyDescent="0.25">
      <c r="A5" s="10" t="s">
        <v>67</v>
      </c>
      <c r="B5" s="10"/>
      <c r="C5" s="34">
        <f t="shared" ref="C5:AB5" si="2">C2*pen_aantal</f>
        <v>1500</v>
      </c>
      <c r="D5" s="34">
        <f>D2*pen_aantal</f>
        <v>1530</v>
      </c>
      <c r="E5" s="34">
        <f t="shared" si="2"/>
        <v>1558.8000000000002</v>
      </c>
      <c r="F5" s="34">
        <f t="shared" si="2"/>
        <v>1586.4480000000001</v>
      </c>
      <c r="G5" s="34">
        <f t="shared" si="2"/>
        <v>1612.99008</v>
      </c>
      <c r="H5" s="34">
        <f t="shared" si="2"/>
        <v>1638.4704767999999</v>
      </c>
      <c r="I5" s="34">
        <f t="shared" si="2"/>
        <v>1662.9316577280001</v>
      </c>
      <c r="J5" s="34">
        <f t="shared" si="2"/>
        <v>1686.4143914188801</v>
      </c>
      <c r="K5" s="34">
        <f t="shared" si="2"/>
        <v>1708.9578157621247</v>
      </c>
      <c r="L5" s="34">
        <f t="shared" si="2"/>
        <v>1730.5995031316397</v>
      </c>
      <c r="M5" s="34">
        <f t="shared" si="2"/>
        <v>1751.3755230063744</v>
      </c>
      <c r="N5" s="34">
        <f t="shared" si="2"/>
        <v>1771.3205020861192</v>
      </c>
      <c r="O5" s="34">
        <f t="shared" si="2"/>
        <v>1790.4676820026743</v>
      </c>
      <c r="P5" s="34">
        <f t="shared" si="2"/>
        <v>1808.8489747225674</v>
      </c>
      <c r="Q5" s="34">
        <f t="shared" si="2"/>
        <v>1826.4950157336648</v>
      </c>
      <c r="R5" s="34">
        <f t="shared" si="2"/>
        <v>1843.4352151043181</v>
      </c>
      <c r="S5" s="34">
        <f t="shared" si="2"/>
        <v>1859.6978065001454</v>
      </c>
      <c r="T5" s="34">
        <f t="shared" si="2"/>
        <v>1875.3098942401396</v>
      </c>
      <c r="U5" s="34">
        <f t="shared" si="2"/>
        <v>1890.297498470534</v>
      </c>
      <c r="V5" s="34">
        <f t="shared" si="2"/>
        <v>1904.6855985317129</v>
      </c>
      <c r="W5" s="34">
        <f t="shared" si="2"/>
        <v>1918.4981745904443</v>
      </c>
      <c r="X5" s="34">
        <f t="shared" si="2"/>
        <v>1931.7582476068267</v>
      </c>
      <c r="Y5" s="34">
        <f t="shared" si="2"/>
        <v>1944.4879177025534</v>
      </c>
      <c r="Z5" s="34">
        <f t="shared" si="2"/>
        <v>1956.7084009944515</v>
      </c>
      <c r="AA5" s="34">
        <f t="shared" si="2"/>
        <v>1968.4400649546733</v>
      </c>
      <c r="AB5" s="34">
        <f t="shared" si="2"/>
        <v>1979.7024623564864</v>
      </c>
    </row>
    <row r="6" spans="1:28" x14ac:dyDescent="0.25">
      <c r="A6" s="10" t="s">
        <v>70</v>
      </c>
      <c r="B6" s="10"/>
      <c r="C6" s="34"/>
      <c r="D6" s="34">
        <f>D5-C5</f>
        <v>30</v>
      </c>
      <c r="E6" s="34">
        <f t="shared" ref="E6:AB6" si="3">E5-D5</f>
        <v>28.800000000000182</v>
      </c>
      <c r="F6" s="34">
        <f t="shared" si="3"/>
        <v>27.647999999999911</v>
      </c>
      <c r="G6" s="34">
        <f t="shared" si="3"/>
        <v>26.542079999999942</v>
      </c>
      <c r="H6" s="34">
        <f t="shared" si="3"/>
        <v>25.48039679999988</v>
      </c>
      <c r="I6" s="34">
        <f t="shared" si="3"/>
        <v>24.461180928000203</v>
      </c>
      <c r="J6" s="34">
        <f t="shared" si="3"/>
        <v>23.482733690879968</v>
      </c>
      <c r="K6" s="34">
        <f t="shared" si="3"/>
        <v>22.543424343244624</v>
      </c>
      <c r="L6" s="34">
        <f t="shared" si="3"/>
        <v>21.641687369515012</v>
      </c>
      <c r="M6" s="34">
        <f t="shared" si="3"/>
        <v>20.776019874734629</v>
      </c>
      <c r="N6" s="34">
        <f t="shared" si="3"/>
        <v>19.944979079744826</v>
      </c>
      <c r="O6" s="34">
        <f t="shared" si="3"/>
        <v>19.14717991655516</v>
      </c>
      <c r="P6" s="34">
        <f t="shared" si="3"/>
        <v>18.381292719893054</v>
      </c>
      <c r="Q6" s="34">
        <f t="shared" si="3"/>
        <v>17.646041011097395</v>
      </c>
      <c r="R6" s="34">
        <f t="shared" si="3"/>
        <v>16.940199370653318</v>
      </c>
      <c r="S6" s="34">
        <f t="shared" si="3"/>
        <v>16.262591395827258</v>
      </c>
      <c r="T6" s="34">
        <f t="shared" si="3"/>
        <v>15.612087739994195</v>
      </c>
      <c r="U6" s="34">
        <f t="shared" si="3"/>
        <v>14.987604230394481</v>
      </c>
      <c r="V6" s="34">
        <f t="shared" si="3"/>
        <v>14.388100061178875</v>
      </c>
      <c r="W6" s="34">
        <f t="shared" si="3"/>
        <v>13.812576058731338</v>
      </c>
      <c r="X6" s="34">
        <f t="shared" si="3"/>
        <v>13.260073016382421</v>
      </c>
      <c r="Y6" s="34">
        <f t="shared" si="3"/>
        <v>12.72967009572676</v>
      </c>
      <c r="Z6" s="34">
        <f t="shared" si="3"/>
        <v>12.220483291898063</v>
      </c>
      <c r="AA6" s="34">
        <f t="shared" si="3"/>
        <v>11.731663960221795</v>
      </c>
      <c r="AB6" s="34">
        <f t="shared" si="3"/>
        <v>11.262397401813132</v>
      </c>
    </row>
    <row r="7" spans="1:28" x14ac:dyDescent="0.25">
      <c r="A7" s="1"/>
      <c r="B7" s="1"/>
      <c r="C7" s="1"/>
      <c r="D7" s="1"/>
      <c r="E7" s="1"/>
      <c r="F7" s="1"/>
      <c r="G7" s="1"/>
      <c r="H7" s="1"/>
      <c r="I7" s="1"/>
      <c r="J7" s="1"/>
      <c r="K7" s="1"/>
      <c r="L7" s="1"/>
      <c r="M7" s="1"/>
      <c r="N7" s="1"/>
      <c r="O7" s="1"/>
      <c r="P7" s="1"/>
      <c r="Q7" s="1"/>
      <c r="R7" s="1"/>
      <c r="S7" s="1"/>
      <c r="T7" s="1"/>
      <c r="U7" s="1"/>
      <c r="V7" s="1"/>
      <c r="W7" s="1"/>
      <c r="X7" s="1"/>
      <c r="Y7" s="1"/>
      <c r="Z7" s="1"/>
      <c r="AA7" s="1"/>
      <c r="AB7" s="1"/>
    </row>
    <row r="8" spans="1:28" x14ac:dyDescent="0.25">
      <c r="A8" s="35" t="s">
        <v>68</v>
      </c>
      <c r="B8" s="35"/>
      <c r="C8" s="35"/>
      <c r="D8" s="35"/>
      <c r="E8" s="35"/>
      <c r="F8" s="35"/>
      <c r="G8" s="35"/>
      <c r="H8" s="35"/>
      <c r="I8" s="35"/>
      <c r="J8" s="35"/>
      <c r="K8" s="35"/>
      <c r="L8" s="35"/>
      <c r="M8" s="35"/>
      <c r="N8" s="35"/>
      <c r="O8" s="35"/>
      <c r="P8" s="35"/>
      <c r="Q8" s="35"/>
      <c r="R8" s="35"/>
      <c r="S8" s="35"/>
      <c r="T8" s="35"/>
      <c r="U8" s="35"/>
      <c r="V8" s="35"/>
      <c r="W8" s="35"/>
      <c r="X8" s="35"/>
      <c r="Y8" s="35"/>
      <c r="Z8" s="35"/>
      <c r="AA8" s="35"/>
      <c r="AB8" s="35"/>
    </row>
    <row r="9" spans="1:28" x14ac:dyDescent="0.25">
      <c r="A9" s="10" t="s">
        <v>321</v>
      </c>
      <c r="B9" s="10"/>
      <c r="C9" s="34">
        <f>ink_start_interesse_eenmalig*C5</f>
        <v>750</v>
      </c>
      <c r="D9" s="34">
        <f>IF(D$1&lt;=ink_start_duur,C9,0)</f>
        <v>750</v>
      </c>
      <c r="E9" s="34">
        <f t="shared" ref="E9:AB9" si="4">IF(E$1&lt;=ink_start_duur,D9,0)</f>
        <v>750</v>
      </c>
      <c r="F9" s="34">
        <f t="shared" si="4"/>
        <v>750</v>
      </c>
      <c r="G9" s="34">
        <f t="shared" si="4"/>
        <v>750</v>
      </c>
      <c r="H9" s="34">
        <f t="shared" si="4"/>
        <v>750</v>
      </c>
      <c r="I9" s="34">
        <f t="shared" si="4"/>
        <v>750</v>
      </c>
      <c r="J9" s="34">
        <f t="shared" si="4"/>
        <v>750</v>
      </c>
      <c r="K9" s="34">
        <f t="shared" si="4"/>
        <v>750</v>
      </c>
      <c r="L9" s="34">
        <f t="shared" si="4"/>
        <v>750</v>
      </c>
      <c r="M9" s="34">
        <f t="shared" si="4"/>
        <v>750</v>
      </c>
      <c r="N9" s="34">
        <f t="shared" si="4"/>
        <v>750</v>
      </c>
      <c r="O9" s="34">
        <f t="shared" si="4"/>
        <v>750</v>
      </c>
      <c r="P9" s="34">
        <f t="shared" si="4"/>
        <v>750</v>
      </c>
      <c r="Q9" s="34">
        <f t="shared" si="4"/>
        <v>750</v>
      </c>
      <c r="R9" s="34">
        <f t="shared" si="4"/>
        <v>750</v>
      </c>
      <c r="S9" s="34">
        <f t="shared" si="4"/>
        <v>750</v>
      </c>
      <c r="T9" s="34">
        <f t="shared" si="4"/>
        <v>750</v>
      </c>
      <c r="U9" s="34">
        <f t="shared" si="4"/>
        <v>750</v>
      </c>
      <c r="V9" s="34">
        <f t="shared" si="4"/>
        <v>750</v>
      </c>
      <c r="W9" s="34">
        <f t="shared" si="4"/>
        <v>750</v>
      </c>
      <c r="X9" s="34">
        <f t="shared" si="4"/>
        <v>0</v>
      </c>
      <c r="Y9" s="34">
        <f t="shared" si="4"/>
        <v>0</v>
      </c>
      <c r="Z9" s="34">
        <f t="shared" si="4"/>
        <v>0</v>
      </c>
      <c r="AA9" s="34">
        <f t="shared" si="4"/>
        <v>0</v>
      </c>
      <c r="AB9" s="34">
        <f t="shared" si="4"/>
        <v>0</v>
      </c>
    </row>
    <row r="10" spans="1:28" x14ac:dyDescent="0.25">
      <c r="A10" s="10" t="s">
        <v>317</v>
      </c>
      <c r="B10" s="10"/>
      <c r="C10" s="34">
        <f>SUM(C17:C41)</f>
        <v>0</v>
      </c>
      <c r="D10" s="34">
        <f>SUM(D17:D41)</f>
        <v>15</v>
      </c>
      <c r="E10" s="34">
        <f>SUM(E17:E41)</f>
        <v>29.400000000000091</v>
      </c>
      <c r="F10" s="34">
        <f t="shared" ref="F10:AB10" si="5">SUM(F17:F41)</f>
        <v>43.224000000000046</v>
      </c>
      <c r="G10" s="34">
        <f t="shared" si="5"/>
        <v>56.495040000000017</v>
      </c>
      <c r="H10" s="34">
        <f t="shared" si="5"/>
        <v>69.235238399999957</v>
      </c>
      <c r="I10" s="34">
        <f t="shared" si="5"/>
        <v>81.465828864000059</v>
      </c>
      <c r="J10" s="34">
        <f t="shared" si="5"/>
        <v>93.207195709440043</v>
      </c>
      <c r="K10" s="34">
        <f t="shared" si="5"/>
        <v>104.47890788106236</v>
      </c>
      <c r="L10" s="34">
        <f t="shared" si="5"/>
        <v>115.29975156581986</v>
      </c>
      <c r="M10" s="34">
        <f t="shared" si="5"/>
        <v>125.68776150318718</v>
      </c>
      <c r="N10" s="34">
        <f t="shared" si="5"/>
        <v>135.66025104305959</v>
      </c>
      <c r="O10" s="34">
        <f t="shared" si="5"/>
        <v>145.23384100133717</v>
      </c>
      <c r="P10" s="34">
        <f t="shared" si="5"/>
        <v>154.4244873612837</v>
      </c>
      <c r="Q10" s="34">
        <f t="shared" si="5"/>
        <v>163.24750786683239</v>
      </c>
      <c r="R10" s="34">
        <f t="shared" si="5"/>
        <v>171.71760755215905</v>
      </c>
      <c r="S10" s="34">
        <f t="shared" si="5"/>
        <v>179.84890325007268</v>
      </c>
      <c r="T10" s="34">
        <f t="shared" si="5"/>
        <v>187.65494712006978</v>
      </c>
      <c r="U10" s="34">
        <f t="shared" si="5"/>
        <v>195.14874923526702</v>
      </c>
      <c r="V10" s="34">
        <f t="shared" si="5"/>
        <v>202.34279926585646</v>
      </c>
      <c r="W10" s="34">
        <f t="shared" si="5"/>
        <v>209.24908729522213</v>
      </c>
      <c r="X10" s="34">
        <f t="shared" si="5"/>
        <v>200.87912380341334</v>
      </c>
      <c r="Y10" s="34">
        <f t="shared" si="5"/>
        <v>192.84395885127662</v>
      </c>
      <c r="Z10" s="34">
        <f t="shared" si="5"/>
        <v>185.1302004972257</v>
      </c>
      <c r="AA10" s="34">
        <f t="shared" si="5"/>
        <v>177.72499247733663</v>
      </c>
      <c r="AB10" s="34">
        <f t="shared" si="5"/>
        <v>170.61599277824325</v>
      </c>
    </row>
    <row r="11" spans="1:28"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row>
    <row r="12" spans="1:28" x14ac:dyDescent="0.25">
      <c r="A12" s="35" t="s">
        <v>71</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row>
    <row r="13" spans="1:28" x14ac:dyDescent="0.25">
      <c r="A13" s="10" t="s">
        <v>321</v>
      </c>
      <c r="B13" s="10"/>
      <c r="C13" s="34">
        <f>C9</f>
        <v>750</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row>
    <row r="14" spans="1:28" x14ac:dyDescent="0.25">
      <c r="A14" s="10" t="s">
        <v>317</v>
      </c>
      <c r="B14" s="10"/>
      <c r="C14" s="34">
        <f>C10</f>
        <v>0</v>
      </c>
      <c r="D14" s="34">
        <f>D6*ink_na_interesse_eenmalig</f>
        <v>15</v>
      </c>
      <c r="E14" s="34">
        <f>E6*ink_na_interesse_eenmalig</f>
        <v>14.400000000000091</v>
      </c>
      <c r="F14" s="34">
        <f t="shared" ref="F14:AB14" si="6">F6*ink_na_interesse_eenmalig</f>
        <v>13.823999999999955</v>
      </c>
      <c r="G14" s="34">
        <f t="shared" si="6"/>
        <v>13.271039999999971</v>
      </c>
      <c r="H14" s="34">
        <f t="shared" si="6"/>
        <v>12.74019839999994</v>
      </c>
      <c r="I14" s="34">
        <f t="shared" si="6"/>
        <v>12.230590464000102</v>
      </c>
      <c r="J14" s="34">
        <f t="shared" si="6"/>
        <v>11.741366845439984</v>
      </c>
      <c r="K14" s="34">
        <f t="shared" si="6"/>
        <v>11.271712171622312</v>
      </c>
      <c r="L14" s="34">
        <f t="shared" si="6"/>
        <v>10.820843684757506</v>
      </c>
      <c r="M14" s="34">
        <f t="shared" si="6"/>
        <v>10.388009937367315</v>
      </c>
      <c r="N14" s="34">
        <f t="shared" si="6"/>
        <v>9.9724895398724129</v>
      </c>
      <c r="O14" s="34">
        <f t="shared" si="6"/>
        <v>9.5735899582775801</v>
      </c>
      <c r="P14" s="34">
        <f t="shared" si="6"/>
        <v>9.1906463599465269</v>
      </c>
      <c r="Q14" s="34">
        <f t="shared" si="6"/>
        <v>8.8230205055486977</v>
      </c>
      <c r="R14" s="34">
        <f t="shared" si="6"/>
        <v>8.4700996853266588</v>
      </c>
      <c r="S14" s="34">
        <f t="shared" si="6"/>
        <v>8.1312956979136288</v>
      </c>
      <c r="T14" s="34">
        <f t="shared" si="6"/>
        <v>7.8060438699970973</v>
      </c>
      <c r="U14" s="34">
        <f t="shared" si="6"/>
        <v>7.4938021151972407</v>
      </c>
      <c r="V14" s="34">
        <f t="shared" si="6"/>
        <v>7.1940500305894375</v>
      </c>
      <c r="W14" s="34">
        <f t="shared" si="6"/>
        <v>6.906288029365669</v>
      </c>
      <c r="X14" s="34">
        <f t="shared" si="6"/>
        <v>6.6300365081912105</v>
      </c>
      <c r="Y14" s="34">
        <f t="shared" si="6"/>
        <v>6.3648350478633802</v>
      </c>
      <c r="Z14" s="34">
        <f t="shared" si="6"/>
        <v>6.1102416459490314</v>
      </c>
      <c r="AA14" s="34">
        <f t="shared" si="6"/>
        <v>5.8658319801108973</v>
      </c>
      <c r="AB14" s="34">
        <f t="shared" si="6"/>
        <v>5.631198700906566</v>
      </c>
    </row>
    <row r="15" spans="1:28" x14ac:dyDescent="0.25">
      <c r="A15" s="21"/>
      <c r="B15" s="21"/>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row>
    <row r="16" spans="1:28" x14ac:dyDescent="0.25">
      <c r="A16" s="35" t="s">
        <v>69</v>
      </c>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row>
    <row r="17" spans="1:28" x14ac:dyDescent="0.25">
      <c r="A17" s="10" t="s">
        <v>292</v>
      </c>
      <c r="B17" s="10">
        <v>1</v>
      </c>
      <c r="C17" s="34">
        <f>IF(AND(C$1&gt;=$B17,C$1&lt;($B17+ink_na_duur)),ink_na_interesse_maand*$D$6,0)</f>
        <v>0</v>
      </c>
      <c r="D17" s="34">
        <f>IF(AND(D$1&gt;=$B17,D$1&lt;($B17+ink_na_duur)),ink_na_interesse_maand*$D$6,0)</f>
        <v>15</v>
      </c>
      <c r="E17" s="34">
        <f>IF(AND(E$1&gt;=$B17,E$1&lt;($B17+ink_na_duur)),ink_na_interesse_maand*$D$6,0)</f>
        <v>15</v>
      </c>
      <c r="F17" s="34">
        <f t="shared" ref="F17:AB17" si="7">IF(AND(F$1&gt;=$B17,F$1&lt;($B17+ink_na_duur)),ink_na_interesse_maand*$D$6,0)</f>
        <v>15</v>
      </c>
      <c r="G17" s="34">
        <f t="shared" si="7"/>
        <v>15</v>
      </c>
      <c r="H17" s="34">
        <f t="shared" si="7"/>
        <v>15</v>
      </c>
      <c r="I17" s="34">
        <f t="shared" si="7"/>
        <v>15</v>
      </c>
      <c r="J17" s="34">
        <f t="shared" si="7"/>
        <v>15</v>
      </c>
      <c r="K17" s="34">
        <f t="shared" si="7"/>
        <v>15</v>
      </c>
      <c r="L17" s="34">
        <f t="shared" si="7"/>
        <v>15</v>
      </c>
      <c r="M17" s="34">
        <f t="shared" si="7"/>
        <v>15</v>
      </c>
      <c r="N17" s="34">
        <f t="shared" si="7"/>
        <v>15</v>
      </c>
      <c r="O17" s="34">
        <f t="shared" si="7"/>
        <v>15</v>
      </c>
      <c r="P17" s="34">
        <f t="shared" si="7"/>
        <v>15</v>
      </c>
      <c r="Q17" s="34">
        <f t="shared" si="7"/>
        <v>15</v>
      </c>
      <c r="R17" s="34">
        <f t="shared" si="7"/>
        <v>15</v>
      </c>
      <c r="S17" s="34">
        <f t="shared" si="7"/>
        <v>15</v>
      </c>
      <c r="T17" s="34">
        <f t="shared" si="7"/>
        <v>15</v>
      </c>
      <c r="U17" s="34">
        <f t="shared" si="7"/>
        <v>15</v>
      </c>
      <c r="V17" s="34">
        <f t="shared" si="7"/>
        <v>15</v>
      </c>
      <c r="W17" s="34">
        <f t="shared" si="7"/>
        <v>15</v>
      </c>
      <c r="X17" s="34">
        <f t="shared" si="7"/>
        <v>0</v>
      </c>
      <c r="Y17" s="34">
        <f t="shared" si="7"/>
        <v>0</v>
      </c>
      <c r="Z17" s="34">
        <f t="shared" si="7"/>
        <v>0</v>
      </c>
      <c r="AA17" s="34">
        <f t="shared" si="7"/>
        <v>0</v>
      </c>
      <c r="AB17" s="34">
        <f t="shared" si="7"/>
        <v>0</v>
      </c>
    </row>
    <row r="18" spans="1:28" x14ac:dyDescent="0.25">
      <c r="A18" s="10" t="s">
        <v>293</v>
      </c>
      <c r="B18" s="10">
        <v>2</v>
      </c>
      <c r="C18" s="34">
        <f t="shared" ref="C18:AB18" si="8">IF(AND(C$1&gt;=$B18,C$1&lt;($B18+ink_na_duur)),ink_na_interesse_maand*$E$6,0)</f>
        <v>0</v>
      </c>
      <c r="D18" s="34">
        <f t="shared" si="8"/>
        <v>0</v>
      </c>
      <c r="E18" s="34">
        <f>IF(AND(E$1&gt;=$B18,E$1&lt;($B18+ink_na_duur)),ink_na_interesse_maand*$E$6,0)</f>
        <v>14.400000000000091</v>
      </c>
      <c r="F18" s="34">
        <f t="shared" si="8"/>
        <v>14.400000000000091</v>
      </c>
      <c r="G18" s="34">
        <f t="shared" si="8"/>
        <v>14.400000000000091</v>
      </c>
      <c r="H18" s="34">
        <f t="shared" si="8"/>
        <v>14.400000000000091</v>
      </c>
      <c r="I18" s="34">
        <f t="shared" si="8"/>
        <v>14.400000000000091</v>
      </c>
      <c r="J18" s="34">
        <f t="shared" si="8"/>
        <v>14.400000000000091</v>
      </c>
      <c r="K18" s="34">
        <f t="shared" si="8"/>
        <v>14.400000000000091</v>
      </c>
      <c r="L18" s="34">
        <f t="shared" si="8"/>
        <v>14.400000000000091</v>
      </c>
      <c r="M18" s="34">
        <f t="shared" si="8"/>
        <v>14.400000000000091</v>
      </c>
      <c r="N18" s="34">
        <f t="shared" si="8"/>
        <v>14.400000000000091</v>
      </c>
      <c r="O18" s="34">
        <f t="shared" si="8"/>
        <v>14.400000000000091</v>
      </c>
      <c r="P18" s="34">
        <f t="shared" si="8"/>
        <v>14.400000000000091</v>
      </c>
      <c r="Q18" s="34">
        <f t="shared" si="8"/>
        <v>14.400000000000091</v>
      </c>
      <c r="R18" s="34">
        <f t="shared" si="8"/>
        <v>14.400000000000091</v>
      </c>
      <c r="S18" s="34">
        <f t="shared" si="8"/>
        <v>14.400000000000091</v>
      </c>
      <c r="T18" s="34">
        <f t="shared" si="8"/>
        <v>14.400000000000091</v>
      </c>
      <c r="U18" s="34">
        <f t="shared" si="8"/>
        <v>14.400000000000091</v>
      </c>
      <c r="V18" s="34">
        <f t="shared" si="8"/>
        <v>14.400000000000091</v>
      </c>
      <c r="W18" s="34">
        <f t="shared" si="8"/>
        <v>14.400000000000091</v>
      </c>
      <c r="X18" s="34">
        <f t="shared" si="8"/>
        <v>14.400000000000091</v>
      </c>
      <c r="Y18" s="34">
        <f t="shared" si="8"/>
        <v>0</v>
      </c>
      <c r="Z18" s="34">
        <f t="shared" si="8"/>
        <v>0</v>
      </c>
      <c r="AA18" s="34">
        <f t="shared" si="8"/>
        <v>0</v>
      </c>
      <c r="AB18" s="34">
        <f t="shared" si="8"/>
        <v>0</v>
      </c>
    </row>
    <row r="19" spans="1:28" x14ac:dyDescent="0.25">
      <c r="A19" s="10" t="s">
        <v>294</v>
      </c>
      <c r="B19" s="10">
        <v>3</v>
      </c>
      <c r="C19" s="34">
        <f t="shared" ref="C19:AB19" si="9">IF(AND(C$1&gt;=$B19,C$1&lt;($B19+ink_na_duur)),ink_na_interesse_maand*$F$6,0)</f>
        <v>0</v>
      </c>
      <c r="D19" s="34">
        <f t="shared" si="9"/>
        <v>0</v>
      </c>
      <c r="E19" s="34">
        <f t="shared" si="9"/>
        <v>0</v>
      </c>
      <c r="F19" s="34">
        <f t="shared" si="9"/>
        <v>13.823999999999955</v>
      </c>
      <c r="G19" s="34">
        <f t="shared" si="9"/>
        <v>13.823999999999955</v>
      </c>
      <c r="H19" s="34">
        <f t="shared" si="9"/>
        <v>13.823999999999955</v>
      </c>
      <c r="I19" s="34">
        <f t="shared" si="9"/>
        <v>13.823999999999955</v>
      </c>
      <c r="J19" s="34">
        <f t="shared" si="9"/>
        <v>13.823999999999955</v>
      </c>
      <c r="K19" s="34">
        <f t="shared" si="9"/>
        <v>13.823999999999955</v>
      </c>
      <c r="L19" s="34">
        <f t="shared" si="9"/>
        <v>13.823999999999955</v>
      </c>
      <c r="M19" s="34">
        <f t="shared" si="9"/>
        <v>13.823999999999955</v>
      </c>
      <c r="N19" s="34">
        <f t="shared" si="9"/>
        <v>13.823999999999955</v>
      </c>
      <c r="O19" s="34">
        <f t="shared" si="9"/>
        <v>13.823999999999955</v>
      </c>
      <c r="P19" s="34">
        <f t="shared" si="9"/>
        <v>13.823999999999955</v>
      </c>
      <c r="Q19" s="34">
        <f t="shared" si="9"/>
        <v>13.823999999999955</v>
      </c>
      <c r="R19" s="34">
        <f t="shared" si="9"/>
        <v>13.823999999999955</v>
      </c>
      <c r="S19" s="34">
        <f t="shared" si="9"/>
        <v>13.823999999999955</v>
      </c>
      <c r="T19" s="34">
        <f t="shared" si="9"/>
        <v>13.823999999999955</v>
      </c>
      <c r="U19" s="34">
        <f t="shared" si="9"/>
        <v>13.823999999999955</v>
      </c>
      <c r="V19" s="34">
        <f t="shared" si="9"/>
        <v>13.823999999999955</v>
      </c>
      <c r="W19" s="34">
        <f t="shared" si="9"/>
        <v>13.823999999999955</v>
      </c>
      <c r="X19" s="34">
        <f t="shared" si="9"/>
        <v>13.823999999999955</v>
      </c>
      <c r="Y19" s="34">
        <f t="shared" si="9"/>
        <v>13.823999999999955</v>
      </c>
      <c r="Z19" s="34">
        <f t="shared" si="9"/>
        <v>0</v>
      </c>
      <c r="AA19" s="34">
        <f t="shared" si="9"/>
        <v>0</v>
      </c>
      <c r="AB19" s="34">
        <f t="shared" si="9"/>
        <v>0</v>
      </c>
    </row>
    <row r="20" spans="1:28" x14ac:dyDescent="0.25">
      <c r="A20" s="10" t="s">
        <v>295</v>
      </c>
      <c r="B20" s="10">
        <v>4</v>
      </c>
      <c r="C20" s="34">
        <f t="shared" ref="C20:AB20" si="10">IF(AND(C$1&gt;=$B20,C$1&lt;($B20+ink_na_duur)),ink_na_interesse_maand*$G$6,0)</f>
        <v>0</v>
      </c>
      <c r="D20" s="34">
        <f t="shared" si="10"/>
        <v>0</v>
      </c>
      <c r="E20" s="34">
        <f t="shared" si="10"/>
        <v>0</v>
      </c>
      <c r="F20" s="34">
        <f t="shared" si="10"/>
        <v>0</v>
      </c>
      <c r="G20" s="34">
        <f t="shared" si="10"/>
        <v>13.271039999999971</v>
      </c>
      <c r="H20" s="34">
        <f t="shared" si="10"/>
        <v>13.271039999999971</v>
      </c>
      <c r="I20" s="34">
        <f t="shared" si="10"/>
        <v>13.271039999999971</v>
      </c>
      <c r="J20" s="34">
        <f t="shared" si="10"/>
        <v>13.271039999999971</v>
      </c>
      <c r="K20" s="34">
        <f t="shared" si="10"/>
        <v>13.271039999999971</v>
      </c>
      <c r="L20" s="34">
        <f t="shared" si="10"/>
        <v>13.271039999999971</v>
      </c>
      <c r="M20" s="34">
        <f t="shared" si="10"/>
        <v>13.271039999999971</v>
      </c>
      <c r="N20" s="34">
        <f t="shared" si="10"/>
        <v>13.271039999999971</v>
      </c>
      <c r="O20" s="34">
        <f t="shared" si="10"/>
        <v>13.271039999999971</v>
      </c>
      <c r="P20" s="34">
        <f t="shared" si="10"/>
        <v>13.271039999999971</v>
      </c>
      <c r="Q20" s="34">
        <f t="shared" si="10"/>
        <v>13.271039999999971</v>
      </c>
      <c r="R20" s="34">
        <f t="shared" si="10"/>
        <v>13.271039999999971</v>
      </c>
      <c r="S20" s="34">
        <f t="shared" si="10"/>
        <v>13.271039999999971</v>
      </c>
      <c r="T20" s="34">
        <f t="shared" si="10"/>
        <v>13.271039999999971</v>
      </c>
      <c r="U20" s="34">
        <f t="shared" si="10"/>
        <v>13.271039999999971</v>
      </c>
      <c r="V20" s="34">
        <f t="shared" si="10"/>
        <v>13.271039999999971</v>
      </c>
      <c r="W20" s="34">
        <f t="shared" si="10"/>
        <v>13.271039999999971</v>
      </c>
      <c r="X20" s="34">
        <f t="shared" si="10"/>
        <v>13.271039999999971</v>
      </c>
      <c r="Y20" s="34">
        <f t="shared" si="10"/>
        <v>13.271039999999971</v>
      </c>
      <c r="Z20" s="34">
        <f t="shared" si="10"/>
        <v>13.271039999999971</v>
      </c>
      <c r="AA20" s="34">
        <f t="shared" si="10"/>
        <v>0</v>
      </c>
      <c r="AB20" s="34">
        <f t="shared" si="10"/>
        <v>0</v>
      </c>
    </row>
    <row r="21" spans="1:28" x14ac:dyDescent="0.25">
      <c r="A21" s="10" t="s">
        <v>296</v>
      </c>
      <c r="B21" s="10">
        <v>5</v>
      </c>
      <c r="C21" s="34">
        <f t="shared" ref="C21:AB21" si="11">IF(AND(C$1&gt;=$B21,C$1&lt;($B21+ink_na_duur)),ink_na_interesse_maand*$H$6,0)</f>
        <v>0</v>
      </c>
      <c r="D21" s="34">
        <f t="shared" si="11"/>
        <v>0</v>
      </c>
      <c r="E21" s="34">
        <f t="shared" si="11"/>
        <v>0</v>
      </c>
      <c r="F21" s="34">
        <f t="shared" si="11"/>
        <v>0</v>
      </c>
      <c r="G21" s="34">
        <f t="shared" si="11"/>
        <v>0</v>
      </c>
      <c r="H21" s="34">
        <f t="shared" si="11"/>
        <v>12.74019839999994</v>
      </c>
      <c r="I21" s="34">
        <f t="shared" si="11"/>
        <v>12.74019839999994</v>
      </c>
      <c r="J21" s="34">
        <f t="shared" si="11"/>
        <v>12.74019839999994</v>
      </c>
      <c r="K21" s="34">
        <f t="shared" si="11"/>
        <v>12.74019839999994</v>
      </c>
      <c r="L21" s="34">
        <f t="shared" si="11"/>
        <v>12.74019839999994</v>
      </c>
      <c r="M21" s="34">
        <f t="shared" si="11"/>
        <v>12.74019839999994</v>
      </c>
      <c r="N21" s="34">
        <f t="shared" si="11"/>
        <v>12.74019839999994</v>
      </c>
      <c r="O21" s="34">
        <f t="shared" si="11"/>
        <v>12.74019839999994</v>
      </c>
      <c r="P21" s="34">
        <f t="shared" si="11"/>
        <v>12.74019839999994</v>
      </c>
      <c r="Q21" s="34">
        <f t="shared" si="11"/>
        <v>12.74019839999994</v>
      </c>
      <c r="R21" s="34">
        <f t="shared" si="11"/>
        <v>12.74019839999994</v>
      </c>
      <c r="S21" s="34">
        <f t="shared" si="11"/>
        <v>12.74019839999994</v>
      </c>
      <c r="T21" s="34">
        <f t="shared" si="11"/>
        <v>12.74019839999994</v>
      </c>
      <c r="U21" s="34">
        <f t="shared" si="11"/>
        <v>12.74019839999994</v>
      </c>
      <c r="V21" s="34">
        <f t="shared" si="11"/>
        <v>12.74019839999994</v>
      </c>
      <c r="W21" s="34">
        <f t="shared" si="11"/>
        <v>12.74019839999994</v>
      </c>
      <c r="X21" s="34">
        <f t="shared" si="11"/>
        <v>12.74019839999994</v>
      </c>
      <c r="Y21" s="34">
        <f t="shared" si="11"/>
        <v>12.74019839999994</v>
      </c>
      <c r="Z21" s="34">
        <f t="shared" si="11"/>
        <v>12.74019839999994</v>
      </c>
      <c r="AA21" s="34">
        <f t="shared" si="11"/>
        <v>12.74019839999994</v>
      </c>
      <c r="AB21" s="34">
        <f t="shared" si="11"/>
        <v>0</v>
      </c>
    </row>
    <row r="22" spans="1:28" x14ac:dyDescent="0.25">
      <c r="A22" s="10" t="s">
        <v>297</v>
      </c>
      <c r="B22" s="10">
        <v>6</v>
      </c>
      <c r="C22" s="34">
        <f t="shared" ref="C22:AB22" si="12">IF(AND(C$1&gt;=$B22,C$1&lt;($B22+ink_na_duur)),ink_na_interesse_maand*$I$6,0)</f>
        <v>0</v>
      </c>
      <c r="D22" s="34">
        <f t="shared" si="12"/>
        <v>0</v>
      </c>
      <c r="E22" s="34">
        <f t="shared" si="12"/>
        <v>0</v>
      </c>
      <c r="F22" s="34">
        <f t="shared" si="12"/>
        <v>0</v>
      </c>
      <c r="G22" s="34">
        <f t="shared" si="12"/>
        <v>0</v>
      </c>
      <c r="H22" s="34">
        <f t="shared" si="12"/>
        <v>0</v>
      </c>
      <c r="I22" s="34">
        <f t="shared" si="12"/>
        <v>12.230590464000102</v>
      </c>
      <c r="J22" s="34">
        <f t="shared" si="12"/>
        <v>12.230590464000102</v>
      </c>
      <c r="K22" s="34">
        <f t="shared" si="12"/>
        <v>12.230590464000102</v>
      </c>
      <c r="L22" s="34">
        <f t="shared" si="12"/>
        <v>12.230590464000102</v>
      </c>
      <c r="M22" s="34">
        <f t="shared" si="12"/>
        <v>12.230590464000102</v>
      </c>
      <c r="N22" s="34">
        <f t="shared" si="12"/>
        <v>12.230590464000102</v>
      </c>
      <c r="O22" s="34">
        <f t="shared" si="12"/>
        <v>12.230590464000102</v>
      </c>
      <c r="P22" s="34">
        <f t="shared" si="12"/>
        <v>12.230590464000102</v>
      </c>
      <c r="Q22" s="34">
        <f t="shared" si="12"/>
        <v>12.230590464000102</v>
      </c>
      <c r="R22" s="34">
        <f t="shared" si="12"/>
        <v>12.230590464000102</v>
      </c>
      <c r="S22" s="34">
        <f t="shared" si="12"/>
        <v>12.230590464000102</v>
      </c>
      <c r="T22" s="34">
        <f t="shared" si="12"/>
        <v>12.230590464000102</v>
      </c>
      <c r="U22" s="34">
        <f t="shared" si="12"/>
        <v>12.230590464000102</v>
      </c>
      <c r="V22" s="34">
        <f t="shared" si="12"/>
        <v>12.230590464000102</v>
      </c>
      <c r="W22" s="34">
        <f t="shared" si="12"/>
        <v>12.230590464000102</v>
      </c>
      <c r="X22" s="34">
        <f t="shared" si="12"/>
        <v>12.230590464000102</v>
      </c>
      <c r="Y22" s="34">
        <f t="shared" si="12"/>
        <v>12.230590464000102</v>
      </c>
      <c r="Z22" s="34">
        <f t="shared" si="12"/>
        <v>12.230590464000102</v>
      </c>
      <c r="AA22" s="34">
        <f t="shared" si="12"/>
        <v>12.230590464000102</v>
      </c>
      <c r="AB22" s="34">
        <f t="shared" si="12"/>
        <v>12.230590464000102</v>
      </c>
    </row>
    <row r="23" spans="1:28" x14ac:dyDescent="0.25">
      <c r="A23" s="10" t="s">
        <v>298</v>
      </c>
      <c r="B23" s="10">
        <v>7</v>
      </c>
      <c r="C23" s="34">
        <f t="shared" ref="C23:AB23" si="13">IF(AND(C$1&gt;=$B23,C$1&lt;($B23+ink_na_duur)),ink_na_interesse_maand*$J$6,0)</f>
        <v>0</v>
      </c>
      <c r="D23" s="34">
        <f t="shared" si="13"/>
        <v>0</v>
      </c>
      <c r="E23" s="34">
        <f t="shared" si="13"/>
        <v>0</v>
      </c>
      <c r="F23" s="34">
        <f t="shared" si="13"/>
        <v>0</v>
      </c>
      <c r="G23" s="34">
        <f t="shared" si="13"/>
        <v>0</v>
      </c>
      <c r="H23" s="34">
        <f t="shared" si="13"/>
        <v>0</v>
      </c>
      <c r="I23" s="34">
        <f t="shared" si="13"/>
        <v>0</v>
      </c>
      <c r="J23" s="34">
        <f t="shared" si="13"/>
        <v>11.741366845439984</v>
      </c>
      <c r="K23" s="34">
        <f t="shared" si="13"/>
        <v>11.741366845439984</v>
      </c>
      <c r="L23" s="34">
        <f t="shared" si="13"/>
        <v>11.741366845439984</v>
      </c>
      <c r="M23" s="34">
        <f t="shared" si="13"/>
        <v>11.741366845439984</v>
      </c>
      <c r="N23" s="34">
        <f t="shared" si="13"/>
        <v>11.741366845439984</v>
      </c>
      <c r="O23" s="34">
        <f t="shared" si="13"/>
        <v>11.741366845439984</v>
      </c>
      <c r="P23" s="34">
        <f t="shared" si="13"/>
        <v>11.741366845439984</v>
      </c>
      <c r="Q23" s="34">
        <f t="shared" si="13"/>
        <v>11.741366845439984</v>
      </c>
      <c r="R23" s="34">
        <f t="shared" si="13"/>
        <v>11.741366845439984</v>
      </c>
      <c r="S23" s="34">
        <f t="shared" si="13"/>
        <v>11.741366845439984</v>
      </c>
      <c r="T23" s="34">
        <f t="shared" si="13"/>
        <v>11.741366845439984</v>
      </c>
      <c r="U23" s="34">
        <f t="shared" si="13"/>
        <v>11.741366845439984</v>
      </c>
      <c r="V23" s="34">
        <f t="shared" si="13"/>
        <v>11.741366845439984</v>
      </c>
      <c r="W23" s="34">
        <f t="shared" si="13"/>
        <v>11.741366845439984</v>
      </c>
      <c r="X23" s="34">
        <f t="shared" si="13"/>
        <v>11.741366845439984</v>
      </c>
      <c r="Y23" s="34">
        <f t="shared" si="13"/>
        <v>11.741366845439984</v>
      </c>
      <c r="Z23" s="34">
        <f t="shared" si="13"/>
        <v>11.741366845439984</v>
      </c>
      <c r="AA23" s="34">
        <f t="shared" si="13"/>
        <v>11.741366845439984</v>
      </c>
      <c r="AB23" s="34">
        <f t="shared" si="13"/>
        <v>11.741366845439984</v>
      </c>
    </row>
    <row r="24" spans="1:28" x14ac:dyDescent="0.25">
      <c r="A24" s="10" t="s">
        <v>299</v>
      </c>
      <c r="B24" s="10">
        <v>8</v>
      </c>
      <c r="C24" s="34">
        <f t="shared" ref="C24:AB24" si="14">IF(AND(C$1&gt;=$B24,C$1&lt;($B24+ink_na_duur)),ink_na_interesse_maand*$K$6,0)</f>
        <v>0</v>
      </c>
      <c r="D24" s="34">
        <f t="shared" si="14"/>
        <v>0</v>
      </c>
      <c r="E24" s="34">
        <f t="shared" si="14"/>
        <v>0</v>
      </c>
      <c r="F24" s="34">
        <f t="shared" si="14"/>
        <v>0</v>
      </c>
      <c r="G24" s="34">
        <f t="shared" si="14"/>
        <v>0</v>
      </c>
      <c r="H24" s="34">
        <f t="shared" si="14"/>
        <v>0</v>
      </c>
      <c r="I24" s="34">
        <f t="shared" si="14"/>
        <v>0</v>
      </c>
      <c r="J24" s="34">
        <f t="shared" si="14"/>
        <v>0</v>
      </c>
      <c r="K24" s="34">
        <f t="shared" si="14"/>
        <v>11.271712171622312</v>
      </c>
      <c r="L24" s="34">
        <f t="shared" si="14"/>
        <v>11.271712171622312</v>
      </c>
      <c r="M24" s="34">
        <f t="shared" si="14"/>
        <v>11.271712171622312</v>
      </c>
      <c r="N24" s="34">
        <f t="shared" si="14"/>
        <v>11.271712171622312</v>
      </c>
      <c r="O24" s="34">
        <f t="shared" si="14"/>
        <v>11.271712171622312</v>
      </c>
      <c r="P24" s="34">
        <f t="shared" si="14"/>
        <v>11.271712171622312</v>
      </c>
      <c r="Q24" s="34">
        <f t="shared" si="14"/>
        <v>11.271712171622312</v>
      </c>
      <c r="R24" s="34">
        <f t="shared" si="14"/>
        <v>11.271712171622312</v>
      </c>
      <c r="S24" s="34">
        <f t="shared" si="14"/>
        <v>11.271712171622312</v>
      </c>
      <c r="T24" s="34">
        <f t="shared" si="14"/>
        <v>11.271712171622312</v>
      </c>
      <c r="U24" s="34">
        <f t="shared" si="14"/>
        <v>11.271712171622312</v>
      </c>
      <c r="V24" s="34">
        <f t="shared" si="14"/>
        <v>11.271712171622312</v>
      </c>
      <c r="W24" s="34">
        <f t="shared" si="14"/>
        <v>11.271712171622312</v>
      </c>
      <c r="X24" s="34">
        <f t="shared" si="14"/>
        <v>11.271712171622312</v>
      </c>
      <c r="Y24" s="34">
        <f t="shared" si="14"/>
        <v>11.271712171622312</v>
      </c>
      <c r="Z24" s="34">
        <f t="shared" si="14"/>
        <v>11.271712171622312</v>
      </c>
      <c r="AA24" s="34">
        <f t="shared" si="14"/>
        <v>11.271712171622312</v>
      </c>
      <c r="AB24" s="34">
        <f t="shared" si="14"/>
        <v>11.271712171622312</v>
      </c>
    </row>
    <row r="25" spans="1:28" x14ac:dyDescent="0.25">
      <c r="A25" s="10" t="s">
        <v>300</v>
      </c>
      <c r="B25" s="10">
        <v>9</v>
      </c>
      <c r="C25" s="34">
        <f t="shared" ref="C25:AB25" si="15">IF(AND(C$1&gt;=$B25,C$1&lt;($B25+ink_na_duur)),ink_na_interesse_maand*$L$6,0)</f>
        <v>0</v>
      </c>
      <c r="D25" s="34">
        <f t="shared" si="15"/>
        <v>0</v>
      </c>
      <c r="E25" s="34">
        <f t="shared" si="15"/>
        <v>0</v>
      </c>
      <c r="F25" s="34">
        <f t="shared" si="15"/>
        <v>0</v>
      </c>
      <c r="G25" s="34">
        <f t="shared" si="15"/>
        <v>0</v>
      </c>
      <c r="H25" s="34">
        <f t="shared" si="15"/>
        <v>0</v>
      </c>
      <c r="I25" s="34">
        <f t="shared" si="15"/>
        <v>0</v>
      </c>
      <c r="J25" s="34">
        <f t="shared" si="15"/>
        <v>0</v>
      </c>
      <c r="K25" s="34">
        <f t="shared" si="15"/>
        <v>0</v>
      </c>
      <c r="L25" s="34">
        <f t="shared" si="15"/>
        <v>10.820843684757506</v>
      </c>
      <c r="M25" s="34">
        <f t="shared" si="15"/>
        <v>10.820843684757506</v>
      </c>
      <c r="N25" s="34">
        <f t="shared" si="15"/>
        <v>10.820843684757506</v>
      </c>
      <c r="O25" s="34">
        <f t="shared" si="15"/>
        <v>10.820843684757506</v>
      </c>
      <c r="P25" s="34">
        <f t="shared" si="15"/>
        <v>10.820843684757506</v>
      </c>
      <c r="Q25" s="34">
        <f t="shared" si="15"/>
        <v>10.820843684757506</v>
      </c>
      <c r="R25" s="34">
        <f t="shared" si="15"/>
        <v>10.820843684757506</v>
      </c>
      <c r="S25" s="34">
        <f t="shared" si="15"/>
        <v>10.820843684757506</v>
      </c>
      <c r="T25" s="34">
        <f t="shared" si="15"/>
        <v>10.820843684757506</v>
      </c>
      <c r="U25" s="34">
        <f t="shared" si="15"/>
        <v>10.820843684757506</v>
      </c>
      <c r="V25" s="34">
        <f t="shared" si="15"/>
        <v>10.820843684757506</v>
      </c>
      <c r="W25" s="34">
        <f t="shared" si="15"/>
        <v>10.820843684757506</v>
      </c>
      <c r="X25" s="34">
        <f t="shared" si="15"/>
        <v>10.820843684757506</v>
      </c>
      <c r="Y25" s="34">
        <f t="shared" si="15"/>
        <v>10.820843684757506</v>
      </c>
      <c r="Z25" s="34">
        <f t="shared" si="15"/>
        <v>10.820843684757506</v>
      </c>
      <c r="AA25" s="34">
        <f t="shared" si="15"/>
        <v>10.820843684757506</v>
      </c>
      <c r="AB25" s="34">
        <f t="shared" si="15"/>
        <v>10.820843684757506</v>
      </c>
    </row>
    <row r="26" spans="1:28" x14ac:dyDescent="0.25">
      <c r="A26" s="10" t="s">
        <v>301</v>
      </c>
      <c r="B26" s="10">
        <v>10</v>
      </c>
      <c r="C26" s="34">
        <f t="shared" ref="C26:AB26" si="16">IF(AND(C$1&gt;=$B26,C$1&lt;($B26+ink_na_duur)),ink_na_interesse_maand*$M$6,0)</f>
        <v>0</v>
      </c>
      <c r="D26" s="34">
        <f t="shared" si="16"/>
        <v>0</v>
      </c>
      <c r="E26" s="34">
        <f t="shared" si="16"/>
        <v>0</v>
      </c>
      <c r="F26" s="34">
        <f t="shared" si="16"/>
        <v>0</v>
      </c>
      <c r="G26" s="34">
        <f t="shared" si="16"/>
        <v>0</v>
      </c>
      <c r="H26" s="34">
        <f t="shared" si="16"/>
        <v>0</v>
      </c>
      <c r="I26" s="34">
        <f t="shared" si="16"/>
        <v>0</v>
      </c>
      <c r="J26" s="34">
        <f t="shared" si="16"/>
        <v>0</v>
      </c>
      <c r="K26" s="34">
        <f t="shared" si="16"/>
        <v>0</v>
      </c>
      <c r="L26" s="34">
        <f t="shared" si="16"/>
        <v>0</v>
      </c>
      <c r="M26" s="34">
        <f t="shared" si="16"/>
        <v>10.388009937367315</v>
      </c>
      <c r="N26" s="34">
        <f t="shared" si="16"/>
        <v>10.388009937367315</v>
      </c>
      <c r="O26" s="34">
        <f t="shared" si="16"/>
        <v>10.388009937367315</v>
      </c>
      <c r="P26" s="34">
        <f t="shared" si="16"/>
        <v>10.388009937367315</v>
      </c>
      <c r="Q26" s="34">
        <f t="shared" si="16"/>
        <v>10.388009937367315</v>
      </c>
      <c r="R26" s="34">
        <f t="shared" si="16"/>
        <v>10.388009937367315</v>
      </c>
      <c r="S26" s="34">
        <f t="shared" si="16"/>
        <v>10.388009937367315</v>
      </c>
      <c r="T26" s="34">
        <f t="shared" si="16"/>
        <v>10.388009937367315</v>
      </c>
      <c r="U26" s="34">
        <f t="shared" si="16"/>
        <v>10.388009937367315</v>
      </c>
      <c r="V26" s="34">
        <f>IF(AND(V$1&gt;=$B26,V$1&lt;($B26+ink_na_duur)),ink_na_interesse_maand*$M$6,0)</f>
        <v>10.388009937367315</v>
      </c>
      <c r="W26" s="34">
        <f t="shared" si="16"/>
        <v>10.388009937367315</v>
      </c>
      <c r="X26" s="34">
        <f t="shared" si="16"/>
        <v>10.388009937367315</v>
      </c>
      <c r="Y26" s="34">
        <f t="shared" si="16"/>
        <v>10.388009937367315</v>
      </c>
      <c r="Z26" s="34">
        <f t="shared" si="16"/>
        <v>10.388009937367315</v>
      </c>
      <c r="AA26" s="34">
        <f t="shared" si="16"/>
        <v>10.388009937367315</v>
      </c>
      <c r="AB26" s="34">
        <f t="shared" si="16"/>
        <v>10.388009937367315</v>
      </c>
    </row>
    <row r="27" spans="1:28" x14ac:dyDescent="0.25">
      <c r="A27" s="10" t="s">
        <v>302</v>
      </c>
      <c r="B27" s="10">
        <v>11</v>
      </c>
      <c r="C27" s="34">
        <f t="shared" ref="C27:AB27" si="17">IF(AND(C$1&gt;=$B27,C$1&lt;($B27+ink_na_duur)),ink_na_interesse_maand*$N$6,0)</f>
        <v>0</v>
      </c>
      <c r="D27" s="34">
        <f t="shared" si="17"/>
        <v>0</v>
      </c>
      <c r="E27" s="34">
        <f t="shared" si="17"/>
        <v>0</v>
      </c>
      <c r="F27" s="34">
        <f t="shared" si="17"/>
        <v>0</v>
      </c>
      <c r="G27" s="34">
        <f t="shared" si="17"/>
        <v>0</v>
      </c>
      <c r="H27" s="34">
        <f t="shared" si="17"/>
        <v>0</v>
      </c>
      <c r="I27" s="34">
        <f t="shared" si="17"/>
        <v>0</v>
      </c>
      <c r="J27" s="34">
        <f t="shared" si="17"/>
        <v>0</v>
      </c>
      <c r="K27" s="34">
        <f t="shared" si="17"/>
        <v>0</v>
      </c>
      <c r="L27" s="34">
        <f t="shared" si="17"/>
        <v>0</v>
      </c>
      <c r="M27" s="34">
        <f t="shared" si="17"/>
        <v>0</v>
      </c>
      <c r="N27" s="34">
        <f t="shared" si="17"/>
        <v>9.9724895398724129</v>
      </c>
      <c r="O27" s="34">
        <f t="shared" si="17"/>
        <v>9.9724895398724129</v>
      </c>
      <c r="P27" s="34">
        <f t="shared" si="17"/>
        <v>9.9724895398724129</v>
      </c>
      <c r="Q27" s="34">
        <f t="shared" si="17"/>
        <v>9.9724895398724129</v>
      </c>
      <c r="R27" s="34">
        <f t="shared" si="17"/>
        <v>9.9724895398724129</v>
      </c>
      <c r="S27" s="34">
        <f t="shared" si="17"/>
        <v>9.9724895398724129</v>
      </c>
      <c r="T27" s="34">
        <f t="shared" si="17"/>
        <v>9.9724895398724129</v>
      </c>
      <c r="U27" s="34">
        <f t="shared" si="17"/>
        <v>9.9724895398724129</v>
      </c>
      <c r="V27" s="34">
        <f t="shared" si="17"/>
        <v>9.9724895398724129</v>
      </c>
      <c r="W27" s="34">
        <f t="shared" si="17"/>
        <v>9.9724895398724129</v>
      </c>
      <c r="X27" s="34">
        <f t="shared" si="17"/>
        <v>9.9724895398724129</v>
      </c>
      <c r="Y27" s="34">
        <f t="shared" si="17"/>
        <v>9.9724895398724129</v>
      </c>
      <c r="Z27" s="34">
        <f t="shared" si="17"/>
        <v>9.9724895398724129</v>
      </c>
      <c r="AA27" s="34">
        <f t="shared" si="17"/>
        <v>9.9724895398724129</v>
      </c>
      <c r="AB27" s="34">
        <f t="shared" si="17"/>
        <v>9.9724895398724129</v>
      </c>
    </row>
    <row r="28" spans="1:28" x14ac:dyDescent="0.25">
      <c r="A28" s="10" t="s">
        <v>303</v>
      </c>
      <c r="B28" s="10">
        <v>12</v>
      </c>
      <c r="C28" s="34">
        <f t="shared" ref="C28:AB28" si="18">IF(AND(C$1&gt;=$B28,C$1&lt;($B28+ink_na_duur)),ink_na_interesse_maand*$O$6,0)</f>
        <v>0</v>
      </c>
      <c r="D28" s="34">
        <f t="shared" si="18"/>
        <v>0</v>
      </c>
      <c r="E28" s="34">
        <f t="shared" si="18"/>
        <v>0</v>
      </c>
      <c r="F28" s="34">
        <f t="shared" si="18"/>
        <v>0</v>
      </c>
      <c r="G28" s="34">
        <f t="shared" si="18"/>
        <v>0</v>
      </c>
      <c r="H28" s="34">
        <f t="shared" si="18"/>
        <v>0</v>
      </c>
      <c r="I28" s="34">
        <f t="shared" si="18"/>
        <v>0</v>
      </c>
      <c r="J28" s="34">
        <f t="shared" si="18"/>
        <v>0</v>
      </c>
      <c r="K28" s="34">
        <f t="shared" si="18"/>
        <v>0</v>
      </c>
      <c r="L28" s="34">
        <f t="shared" si="18"/>
        <v>0</v>
      </c>
      <c r="M28" s="34">
        <f t="shared" si="18"/>
        <v>0</v>
      </c>
      <c r="N28" s="34">
        <f t="shared" si="18"/>
        <v>0</v>
      </c>
      <c r="O28" s="34">
        <f t="shared" si="18"/>
        <v>9.5735899582775801</v>
      </c>
      <c r="P28" s="34">
        <f t="shared" si="18"/>
        <v>9.5735899582775801</v>
      </c>
      <c r="Q28" s="34">
        <f t="shared" si="18"/>
        <v>9.5735899582775801</v>
      </c>
      <c r="R28" s="34">
        <f t="shared" si="18"/>
        <v>9.5735899582775801</v>
      </c>
      <c r="S28" s="34">
        <f t="shared" si="18"/>
        <v>9.5735899582775801</v>
      </c>
      <c r="T28" s="34">
        <f t="shared" si="18"/>
        <v>9.5735899582775801</v>
      </c>
      <c r="U28" s="34">
        <f t="shared" si="18"/>
        <v>9.5735899582775801</v>
      </c>
      <c r="V28" s="34">
        <f t="shared" si="18"/>
        <v>9.5735899582775801</v>
      </c>
      <c r="W28" s="34">
        <f t="shared" si="18"/>
        <v>9.5735899582775801</v>
      </c>
      <c r="X28" s="34">
        <f t="shared" si="18"/>
        <v>9.5735899582775801</v>
      </c>
      <c r="Y28" s="34">
        <f t="shared" si="18"/>
        <v>9.5735899582775801</v>
      </c>
      <c r="Z28" s="34">
        <f t="shared" si="18"/>
        <v>9.5735899582775801</v>
      </c>
      <c r="AA28" s="34">
        <f t="shared" si="18"/>
        <v>9.5735899582775801</v>
      </c>
      <c r="AB28" s="34">
        <f t="shared" si="18"/>
        <v>9.5735899582775801</v>
      </c>
    </row>
    <row r="29" spans="1:28" x14ac:dyDescent="0.25">
      <c r="A29" s="10" t="s">
        <v>304</v>
      </c>
      <c r="B29" s="10">
        <v>13</v>
      </c>
      <c r="C29" s="34">
        <f t="shared" ref="C29:AB29" si="19">IF(AND(C$1&gt;=$B29,C$1&lt;($B29+ink_na_duur)),ink_na_interesse_maand*$P$6,0)</f>
        <v>0</v>
      </c>
      <c r="D29" s="34">
        <f t="shared" si="19"/>
        <v>0</v>
      </c>
      <c r="E29" s="34">
        <f t="shared" si="19"/>
        <v>0</v>
      </c>
      <c r="F29" s="34">
        <f t="shared" si="19"/>
        <v>0</v>
      </c>
      <c r="G29" s="34">
        <f t="shared" si="19"/>
        <v>0</v>
      </c>
      <c r="H29" s="34">
        <f t="shared" si="19"/>
        <v>0</v>
      </c>
      <c r="I29" s="34">
        <f t="shared" si="19"/>
        <v>0</v>
      </c>
      <c r="J29" s="34">
        <f t="shared" si="19"/>
        <v>0</v>
      </c>
      <c r="K29" s="34">
        <f t="shared" si="19"/>
        <v>0</v>
      </c>
      <c r="L29" s="34">
        <f t="shared" si="19"/>
        <v>0</v>
      </c>
      <c r="M29" s="34">
        <f t="shared" si="19"/>
        <v>0</v>
      </c>
      <c r="N29" s="34">
        <f t="shared" si="19"/>
        <v>0</v>
      </c>
      <c r="O29" s="34">
        <f t="shared" si="19"/>
        <v>0</v>
      </c>
      <c r="P29" s="34">
        <f t="shared" si="19"/>
        <v>9.1906463599465269</v>
      </c>
      <c r="Q29" s="34">
        <f t="shared" si="19"/>
        <v>9.1906463599465269</v>
      </c>
      <c r="R29" s="34">
        <f t="shared" si="19"/>
        <v>9.1906463599465269</v>
      </c>
      <c r="S29" s="34">
        <f t="shared" si="19"/>
        <v>9.1906463599465269</v>
      </c>
      <c r="T29" s="34">
        <f t="shared" si="19"/>
        <v>9.1906463599465269</v>
      </c>
      <c r="U29" s="34">
        <f t="shared" si="19"/>
        <v>9.1906463599465269</v>
      </c>
      <c r="V29" s="34">
        <f t="shared" si="19"/>
        <v>9.1906463599465269</v>
      </c>
      <c r="W29" s="34">
        <f t="shared" si="19"/>
        <v>9.1906463599465269</v>
      </c>
      <c r="X29" s="34">
        <f t="shared" si="19"/>
        <v>9.1906463599465269</v>
      </c>
      <c r="Y29" s="34">
        <f t="shared" si="19"/>
        <v>9.1906463599465269</v>
      </c>
      <c r="Z29" s="34">
        <f t="shared" si="19"/>
        <v>9.1906463599465269</v>
      </c>
      <c r="AA29" s="34">
        <f t="shared" si="19"/>
        <v>9.1906463599465269</v>
      </c>
      <c r="AB29" s="34">
        <f t="shared" si="19"/>
        <v>9.1906463599465269</v>
      </c>
    </row>
    <row r="30" spans="1:28" x14ac:dyDescent="0.25">
      <c r="A30" s="10" t="s">
        <v>305</v>
      </c>
      <c r="B30" s="10">
        <v>14</v>
      </c>
      <c r="C30" s="34">
        <f t="shared" ref="C30:AB30" si="20">IF(AND(C$1&gt;=$B30,C$1&lt;($B30+ink_na_duur)),ink_na_interesse_maand*$Q$6,0)</f>
        <v>0</v>
      </c>
      <c r="D30" s="34">
        <f t="shared" si="20"/>
        <v>0</v>
      </c>
      <c r="E30" s="34">
        <f t="shared" si="20"/>
        <v>0</v>
      </c>
      <c r="F30" s="34">
        <f t="shared" si="20"/>
        <v>0</v>
      </c>
      <c r="G30" s="34">
        <f t="shared" si="20"/>
        <v>0</v>
      </c>
      <c r="H30" s="34">
        <f t="shared" si="20"/>
        <v>0</v>
      </c>
      <c r="I30" s="34">
        <f t="shared" si="20"/>
        <v>0</v>
      </c>
      <c r="J30" s="34">
        <f t="shared" si="20"/>
        <v>0</v>
      </c>
      <c r="K30" s="34">
        <f t="shared" si="20"/>
        <v>0</v>
      </c>
      <c r="L30" s="34">
        <f t="shared" si="20"/>
        <v>0</v>
      </c>
      <c r="M30" s="34">
        <f t="shared" si="20"/>
        <v>0</v>
      </c>
      <c r="N30" s="34">
        <f t="shared" si="20"/>
        <v>0</v>
      </c>
      <c r="O30" s="34">
        <f t="shared" si="20"/>
        <v>0</v>
      </c>
      <c r="P30" s="34">
        <f t="shared" si="20"/>
        <v>0</v>
      </c>
      <c r="Q30" s="34">
        <f t="shared" si="20"/>
        <v>8.8230205055486977</v>
      </c>
      <c r="R30" s="34">
        <f t="shared" si="20"/>
        <v>8.8230205055486977</v>
      </c>
      <c r="S30" s="34">
        <f t="shared" si="20"/>
        <v>8.8230205055486977</v>
      </c>
      <c r="T30" s="34">
        <f t="shared" si="20"/>
        <v>8.8230205055486977</v>
      </c>
      <c r="U30" s="34">
        <f t="shared" si="20"/>
        <v>8.8230205055486977</v>
      </c>
      <c r="V30" s="34">
        <f t="shared" si="20"/>
        <v>8.8230205055486977</v>
      </c>
      <c r="W30" s="34">
        <f t="shared" si="20"/>
        <v>8.8230205055486977</v>
      </c>
      <c r="X30" s="34">
        <f t="shared" si="20"/>
        <v>8.8230205055486977</v>
      </c>
      <c r="Y30" s="34">
        <f t="shared" si="20"/>
        <v>8.8230205055486977</v>
      </c>
      <c r="Z30" s="34">
        <f t="shared" si="20"/>
        <v>8.8230205055486977</v>
      </c>
      <c r="AA30" s="34">
        <f t="shared" si="20"/>
        <v>8.8230205055486977</v>
      </c>
      <c r="AB30" s="34">
        <f t="shared" si="20"/>
        <v>8.8230205055486977</v>
      </c>
    </row>
    <row r="31" spans="1:28" x14ac:dyDescent="0.25">
      <c r="A31" s="10" t="s">
        <v>306</v>
      </c>
      <c r="B31" s="10">
        <v>15</v>
      </c>
      <c r="C31" s="34">
        <f t="shared" ref="C31:AB31" si="21">IF(AND(C$1&gt;=$B31,C$1&lt;($B31+ink_na_duur)),ink_na_interesse_maand*$R$6,0)</f>
        <v>0</v>
      </c>
      <c r="D31" s="34">
        <f t="shared" si="21"/>
        <v>0</v>
      </c>
      <c r="E31" s="34">
        <f t="shared" si="21"/>
        <v>0</v>
      </c>
      <c r="F31" s="34">
        <f t="shared" si="21"/>
        <v>0</v>
      </c>
      <c r="G31" s="34">
        <f t="shared" si="21"/>
        <v>0</v>
      </c>
      <c r="H31" s="34">
        <f t="shared" si="21"/>
        <v>0</v>
      </c>
      <c r="I31" s="34">
        <f t="shared" si="21"/>
        <v>0</v>
      </c>
      <c r="J31" s="34">
        <f t="shared" si="21"/>
        <v>0</v>
      </c>
      <c r="K31" s="34">
        <f t="shared" si="21"/>
        <v>0</v>
      </c>
      <c r="L31" s="34">
        <f t="shared" si="21"/>
        <v>0</v>
      </c>
      <c r="M31" s="34">
        <f t="shared" si="21"/>
        <v>0</v>
      </c>
      <c r="N31" s="34">
        <f t="shared" si="21"/>
        <v>0</v>
      </c>
      <c r="O31" s="34">
        <f t="shared" si="21"/>
        <v>0</v>
      </c>
      <c r="P31" s="34">
        <f t="shared" si="21"/>
        <v>0</v>
      </c>
      <c r="Q31" s="34">
        <f t="shared" si="21"/>
        <v>0</v>
      </c>
      <c r="R31" s="34">
        <f t="shared" si="21"/>
        <v>8.4700996853266588</v>
      </c>
      <c r="S31" s="34">
        <f t="shared" si="21"/>
        <v>8.4700996853266588</v>
      </c>
      <c r="T31" s="34">
        <f t="shared" si="21"/>
        <v>8.4700996853266588</v>
      </c>
      <c r="U31" s="34">
        <f t="shared" si="21"/>
        <v>8.4700996853266588</v>
      </c>
      <c r="V31" s="34">
        <f t="shared" si="21"/>
        <v>8.4700996853266588</v>
      </c>
      <c r="W31" s="34">
        <f t="shared" si="21"/>
        <v>8.4700996853266588</v>
      </c>
      <c r="X31" s="34">
        <f t="shared" si="21"/>
        <v>8.4700996853266588</v>
      </c>
      <c r="Y31" s="34">
        <f t="shared" si="21"/>
        <v>8.4700996853266588</v>
      </c>
      <c r="Z31" s="34">
        <f t="shared" si="21"/>
        <v>8.4700996853266588</v>
      </c>
      <c r="AA31" s="34">
        <f t="shared" si="21"/>
        <v>8.4700996853266588</v>
      </c>
      <c r="AB31" s="34">
        <f t="shared" si="21"/>
        <v>8.4700996853266588</v>
      </c>
    </row>
    <row r="32" spans="1:28" x14ac:dyDescent="0.25">
      <c r="A32" s="10" t="s">
        <v>307</v>
      </c>
      <c r="B32" s="10">
        <v>16</v>
      </c>
      <c r="C32" s="34">
        <f t="shared" ref="C32:AB32" si="22">IF(AND(C$1&gt;=$B32,C$1&lt;($B32+ink_na_duur)),ink_na_interesse_maand*$S$6,0)</f>
        <v>0</v>
      </c>
      <c r="D32" s="34">
        <f t="shared" si="22"/>
        <v>0</v>
      </c>
      <c r="E32" s="34">
        <f t="shared" si="22"/>
        <v>0</v>
      </c>
      <c r="F32" s="34">
        <f t="shared" si="22"/>
        <v>0</v>
      </c>
      <c r="G32" s="34">
        <f t="shared" si="22"/>
        <v>0</v>
      </c>
      <c r="H32" s="34">
        <f t="shared" si="22"/>
        <v>0</v>
      </c>
      <c r="I32" s="34">
        <f t="shared" si="22"/>
        <v>0</v>
      </c>
      <c r="J32" s="34">
        <f t="shared" si="22"/>
        <v>0</v>
      </c>
      <c r="K32" s="34">
        <f t="shared" si="22"/>
        <v>0</v>
      </c>
      <c r="L32" s="34">
        <f t="shared" si="22"/>
        <v>0</v>
      </c>
      <c r="M32" s="34">
        <f t="shared" si="22"/>
        <v>0</v>
      </c>
      <c r="N32" s="34">
        <f t="shared" si="22"/>
        <v>0</v>
      </c>
      <c r="O32" s="34">
        <f t="shared" si="22"/>
        <v>0</v>
      </c>
      <c r="P32" s="34">
        <f t="shared" si="22"/>
        <v>0</v>
      </c>
      <c r="Q32" s="34">
        <f t="shared" si="22"/>
        <v>0</v>
      </c>
      <c r="R32" s="34">
        <f t="shared" si="22"/>
        <v>0</v>
      </c>
      <c r="S32" s="34">
        <f t="shared" si="22"/>
        <v>8.1312956979136288</v>
      </c>
      <c r="T32" s="34">
        <f t="shared" si="22"/>
        <v>8.1312956979136288</v>
      </c>
      <c r="U32" s="34">
        <f t="shared" si="22"/>
        <v>8.1312956979136288</v>
      </c>
      <c r="V32" s="34">
        <f t="shared" si="22"/>
        <v>8.1312956979136288</v>
      </c>
      <c r="W32" s="34">
        <f t="shared" si="22"/>
        <v>8.1312956979136288</v>
      </c>
      <c r="X32" s="34">
        <f t="shared" si="22"/>
        <v>8.1312956979136288</v>
      </c>
      <c r="Y32" s="34">
        <f t="shared" si="22"/>
        <v>8.1312956979136288</v>
      </c>
      <c r="Z32" s="34">
        <f t="shared" si="22"/>
        <v>8.1312956979136288</v>
      </c>
      <c r="AA32" s="34">
        <f t="shared" si="22"/>
        <v>8.1312956979136288</v>
      </c>
      <c r="AB32" s="34">
        <f t="shared" si="22"/>
        <v>8.1312956979136288</v>
      </c>
    </row>
    <row r="33" spans="1:28" x14ac:dyDescent="0.25">
      <c r="A33" s="10" t="s">
        <v>308</v>
      </c>
      <c r="B33" s="10">
        <v>17</v>
      </c>
      <c r="C33" s="34">
        <f t="shared" ref="C33:AB33" si="23">IF(AND(C$1&gt;=$B33,C$1&lt;($B33+ink_na_duur)),ink_na_interesse_maand*$T$6,0)</f>
        <v>0</v>
      </c>
      <c r="D33" s="34">
        <f t="shared" si="23"/>
        <v>0</v>
      </c>
      <c r="E33" s="34">
        <f t="shared" si="23"/>
        <v>0</v>
      </c>
      <c r="F33" s="34">
        <f t="shared" si="23"/>
        <v>0</v>
      </c>
      <c r="G33" s="34">
        <f t="shared" si="23"/>
        <v>0</v>
      </c>
      <c r="H33" s="34">
        <f t="shared" si="23"/>
        <v>0</v>
      </c>
      <c r="I33" s="34">
        <f t="shared" si="23"/>
        <v>0</v>
      </c>
      <c r="J33" s="34">
        <f t="shared" si="23"/>
        <v>0</v>
      </c>
      <c r="K33" s="34">
        <f t="shared" si="23"/>
        <v>0</v>
      </c>
      <c r="L33" s="34">
        <f t="shared" si="23"/>
        <v>0</v>
      </c>
      <c r="M33" s="34">
        <f t="shared" si="23"/>
        <v>0</v>
      </c>
      <c r="N33" s="34">
        <f t="shared" si="23"/>
        <v>0</v>
      </c>
      <c r="O33" s="34">
        <f t="shared" si="23"/>
        <v>0</v>
      </c>
      <c r="P33" s="34">
        <f t="shared" si="23"/>
        <v>0</v>
      </c>
      <c r="Q33" s="34">
        <f t="shared" si="23"/>
        <v>0</v>
      </c>
      <c r="R33" s="34">
        <f t="shared" si="23"/>
        <v>0</v>
      </c>
      <c r="S33" s="34">
        <f t="shared" si="23"/>
        <v>0</v>
      </c>
      <c r="T33" s="34">
        <f t="shared" si="23"/>
        <v>7.8060438699970973</v>
      </c>
      <c r="U33" s="34">
        <f t="shared" si="23"/>
        <v>7.8060438699970973</v>
      </c>
      <c r="V33" s="34">
        <f t="shared" si="23"/>
        <v>7.8060438699970973</v>
      </c>
      <c r="W33" s="34">
        <f t="shared" si="23"/>
        <v>7.8060438699970973</v>
      </c>
      <c r="X33" s="34">
        <f t="shared" si="23"/>
        <v>7.8060438699970973</v>
      </c>
      <c r="Y33" s="34">
        <f t="shared" si="23"/>
        <v>7.8060438699970973</v>
      </c>
      <c r="Z33" s="34">
        <f t="shared" si="23"/>
        <v>7.8060438699970973</v>
      </c>
      <c r="AA33" s="34">
        <f t="shared" si="23"/>
        <v>7.8060438699970973</v>
      </c>
      <c r="AB33" s="34">
        <f t="shared" si="23"/>
        <v>7.8060438699970973</v>
      </c>
    </row>
    <row r="34" spans="1:28" x14ac:dyDescent="0.25">
      <c r="A34" s="10" t="s">
        <v>309</v>
      </c>
      <c r="B34" s="10">
        <v>18</v>
      </c>
      <c r="C34" s="34">
        <f t="shared" ref="C34:AB34" si="24">IF(AND(C$1&gt;=$B34,C$1&lt;($B34+ink_na_duur)),ink_na_interesse_maand*$U$6,0)</f>
        <v>0</v>
      </c>
      <c r="D34" s="34">
        <f t="shared" si="24"/>
        <v>0</v>
      </c>
      <c r="E34" s="34">
        <f t="shared" si="24"/>
        <v>0</v>
      </c>
      <c r="F34" s="34">
        <f t="shared" si="24"/>
        <v>0</v>
      </c>
      <c r="G34" s="34">
        <f t="shared" si="24"/>
        <v>0</v>
      </c>
      <c r="H34" s="34">
        <f t="shared" si="24"/>
        <v>0</v>
      </c>
      <c r="I34" s="34">
        <f t="shared" si="24"/>
        <v>0</v>
      </c>
      <c r="J34" s="34">
        <f t="shared" si="24"/>
        <v>0</v>
      </c>
      <c r="K34" s="34">
        <f t="shared" si="24"/>
        <v>0</v>
      </c>
      <c r="L34" s="34">
        <f t="shared" si="24"/>
        <v>0</v>
      </c>
      <c r="M34" s="34">
        <f t="shared" si="24"/>
        <v>0</v>
      </c>
      <c r="N34" s="34">
        <f t="shared" si="24"/>
        <v>0</v>
      </c>
      <c r="O34" s="34">
        <f t="shared" si="24"/>
        <v>0</v>
      </c>
      <c r="P34" s="34">
        <f t="shared" si="24"/>
        <v>0</v>
      </c>
      <c r="Q34" s="34">
        <f t="shared" si="24"/>
        <v>0</v>
      </c>
      <c r="R34" s="34">
        <f t="shared" si="24"/>
        <v>0</v>
      </c>
      <c r="S34" s="34">
        <f t="shared" si="24"/>
        <v>0</v>
      </c>
      <c r="T34" s="34">
        <f t="shared" si="24"/>
        <v>0</v>
      </c>
      <c r="U34" s="34">
        <f t="shared" si="24"/>
        <v>7.4938021151972407</v>
      </c>
      <c r="V34" s="34">
        <f t="shared" si="24"/>
        <v>7.4938021151972407</v>
      </c>
      <c r="W34" s="34">
        <f t="shared" si="24"/>
        <v>7.4938021151972407</v>
      </c>
      <c r="X34" s="34">
        <f t="shared" si="24"/>
        <v>7.4938021151972407</v>
      </c>
      <c r="Y34" s="34">
        <f t="shared" si="24"/>
        <v>7.4938021151972407</v>
      </c>
      <c r="Z34" s="34">
        <f t="shared" si="24"/>
        <v>7.4938021151972407</v>
      </c>
      <c r="AA34" s="34">
        <f t="shared" si="24"/>
        <v>7.4938021151972407</v>
      </c>
      <c r="AB34" s="34">
        <f t="shared" si="24"/>
        <v>7.4938021151972407</v>
      </c>
    </row>
    <row r="35" spans="1:28" x14ac:dyDescent="0.25">
      <c r="A35" s="10" t="s">
        <v>310</v>
      </c>
      <c r="B35" s="10">
        <v>19</v>
      </c>
      <c r="C35" s="34">
        <f t="shared" ref="C35:AB35" si="25">IF(AND(C$1&gt;=$B35,C$1&lt;($B35+ink_na_duur)),ink_na_interesse_maand*$V$6,0)</f>
        <v>0</v>
      </c>
      <c r="D35" s="34">
        <f t="shared" si="25"/>
        <v>0</v>
      </c>
      <c r="E35" s="34">
        <f t="shared" si="25"/>
        <v>0</v>
      </c>
      <c r="F35" s="34">
        <f t="shared" si="25"/>
        <v>0</v>
      </c>
      <c r="G35" s="34">
        <f t="shared" si="25"/>
        <v>0</v>
      </c>
      <c r="H35" s="34">
        <f t="shared" si="25"/>
        <v>0</v>
      </c>
      <c r="I35" s="34">
        <f t="shared" si="25"/>
        <v>0</v>
      </c>
      <c r="J35" s="34">
        <f t="shared" si="25"/>
        <v>0</v>
      </c>
      <c r="K35" s="34">
        <f t="shared" si="25"/>
        <v>0</v>
      </c>
      <c r="L35" s="34">
        <f t="shared" si="25"/>
        <v>0</v>
      </c>
      <c r="M35" s="34">
        <f t="shared" si="25"/>
        <v>0</v>
      </c>
      <c r="N35" s="34">
        <f t="shared" si="25"/>
        <v>0</v>
      </c>
      <c r="O35" s="34">
        <f t="shared" si="25"/>
        <v>0</v>
      </c>
      <c r="P35" s="34">
        <f t="shared" si="25"/>
        <v>0</v>
      </c>
      <c r="Q35" s="34">
        <f t="shared" si="25"/>
        <v>0</v>
      </c>
      <c r="R35" s="34">
        <f t="shared" si="25"/>
        <v>0</v>
      </c>
      <c r="S35" s="34">
        <f t="shared" si="25"/>
        <v>0</v>
      </c>
      <c r="T35" s="34">
        <f t="shared" si="25"/>
        <v>0</v>
      </c>
      <c r="U35" s="34">
        <f t="shared" si="25"/>
        <v>0</v>
      </c>
      <c r="V35" s="34">
        <f t="shared" si="25"/>
        <v>7.1940500305894375</v>
      </c>
      <c r="W35" s="34">
        <f t="shared" si="25"/>
        <v>7.1940500305894375</v>
      </c>
      <c r="X35" s="34">
        <f t="shared" si="25"/>
        <v>7.1940500305894375</v>
      </c>
      <c r="Y35" s="34">
        <f t="shared" si="25"/>
        <v>7.1940500305894375</v>
      </c>
      <c r="Z35" s="34">
        <f t="shared" si="25"/>
        <v>7.1940500305894375</v>
      </c>
      <c r="AA35" s="34">
        <f t="shared" si="25"/>
        <v>7.1940500305894375</v>
      </c>
      <c r="AB35" s="34">
        <f t="shared" si="25"/>
        <v>7.1940500305894375</v>
      </c>
    </row>
    <row r="36" spans="1:28" x14ac:dyDescent="0.25">
      <c r="A36" s="10" t="s">
        <v>311</v>
      </c>
      <c r="B36" s="10">
        <v>20</v>
      </c>
      <c r="C36" s="34">
        <f t="shared" ref="C36:AB36" si="26">IF(AND(C$1&gt;=$B36,C$1&lt;($B36+ink_na_duur)),ink_na_interesse_maand*$W$6,0)</f>
        <v>0</v>
      </c>
      <c r="D36" s="34">
        <f t="shared" si="26"/>
        <v>0</v>
      </c>
      <c r="E36" s="34">
        <f t="shared" si="26"/>
        <v>0</v>
      </c>
      <c r="F36" s="34">
        <f t="shared" si="26"/>
        <v>0</v>
      </c>
      <c r="G36" s="34">
        <f t="shared" si="26"/>
        <v>0</v>
      </c>
      <c r="H36" s="34">
        <f t="shared" si="26"/>
        <v>0</v>
      </c>
      <c r="I36" s="34">
        <f t="shared" si="26"/>
        <v>0</v>
      </c>
      <c r="J36" s="34">
        <f t="shared" si="26"/>
        <v>0</v>
      </c>
      <c r="K36" s="34">
        <f t="shared" si="26"/>
        <v>0</v>
      </c>
      <c r="L36" s="34">
        <f t="shared" si="26"/>
        <v>0</v>
      </c>
      <c r="M36" s="34">
        <f t="shared" si="26"/>
        <v>0</v>
      </c>
      <c r="N36" s="34">
        <f t="shared" si="26"/>
        <v>0</v>
      </c>
      <c r="O36" s="34">
        <f t="shared" si="26"/>
        <v>0</v>
      </c>
      <c r="P36" s="34">
        <f t="shared" si="26"/>
        <v>0</v>
      </c>
      <c r="Q36" s="34">
        <f t="shared" si="26"/>
        <v>0</v>
      </c>
      <c r="R36" s="34">
        <f t="shared" si="26"/>
        <v>0</v>
      </c>
      <c r="S36" s="34">
        <f t="shared" si="26"/>
        <v>0</v>
      </c>
      <c r="T36" s="34">
        <f t="shared" si="26"/>
        <v>0</v>
      </c>
      <c r="U36" s="34">
        <f t="shared" si="26"/>
        <v>0</v>
      </c>
      <c r="V36" s="34">
        <f t="shared" si="26"/>
        <v>0</v>
      </c>
      <c r="W36" s="34">
        <f t="shared" si="26"/>
        <v>6.906288029365669</v>
      </c>
      <c r="X36" s="34">
        <f t="shared" si="26"/>
        <v>6.906288029365669</v>
      </c>
      <c r="Y36" s="34">
        <f t="shared" si="26"/>
        <v>6.906288029365669</v>
      </c>
      <c r="Z36" s="34">
        <f t="shared" si="26"/>
        <v>6.906288029365669</v>
      </c>
      <c r="AA36" s="34">
        <f t="shared" si="26"/>
        <v>6.906288029365669</v>
      </c>
      <c r="AB36" s="34">
        <f t="shared" si="26"/>
        <v>6.906288029365669</v>
      </c>
    </row>
    <row r="37" spans="1:28" x14ac:dyDescent="0.25">
      <c r="A37" s="10" t="s">
        <v>312</v>
      </c>
      <c r="B37" s="10">
        <v>21</v>
      </c>
      <c r="C37" s="34">
        <f t="shared" ref="C37:AB37" si="27">IF(AND(C$1&gt;=$B37,C$1&lt;($B37+ink_na_duur)),ink_na_interesse_maand*$X$6,0)</f>
        <v>0</v>
      </c>
      <c r="D37" s="34">
        <f t="shared" si="27"/>
        <v>0</v>
      </c>
      <c r="E37" s="34">
        <f t="shared" si="27"/>
        <v>0</v>
      </c>
      <c r="F37" s="34">
        <f t="shared" si="27"/>
        <v>0</v>
      </c>
      <c r="G37" s="34">
        <f t="shared" si="27"/>
        <v>0</v>
      </c>
      <c r="H37" s="34">
        <f t="shared" si="27"/>
        <v>0</v>
      </c>
      <c r="I37" s="34">
        <f t="shared" si="27"/>
        <v>0</v>
      </c>
      <c r="J37" s="34">
        <f t="shared" si="27"/>
        <v>0</v>
      </c>
      <c r="K37" s="34">
        <f t="shared" si="27"/>
        <v>0</v>
      </c>
      <c r="L37" s="34">
        <f t="shared" si="27"/>
        <v>0</v>
      </c>
      <c r="M37" s="34">
        <f t="shared" si="27"/>
        <v>0</v>
      </c>
      <c r="N37" s="34">
        <f t="shared" si="27"/>
        <v>0</v>
      </c>
      <c r="O37" s="34">
        <f t="shared" si="27"/>
        <v>0</v>
      </c>
      <c r="P37" s="34">
        <f t="shared" si="27"/>
        <v>0</v>
      </c>
      <c r="Q37" s="34">
        <f t="shared" si="27"/>
        <v>0</v>
      </c>
      <c r="R37" s="34">
        <f t="shared" si="27"/>
        <v>0</v>
      </c>
      <c r="S37" s="34">
        <f t="shared" si="27"/>
        <v>0</v>
      </c>
      <c r="T37" s="34">
        <f t="shared" si="27"/>
        <v>0</v>
      </c>
      <c r="U37" s="34">
        <f t="shared" si="27"/>
        <v>0</v>
      </c>
      <c r="V37" s="34">
        <f t="shared" si="27"/>
        <v>0</v>
      </c>
      <c r="W37" s="34">
        <f t="shared" si="27"/>
        <v>0</v>
      </c>
      <c r="X37" s="34">
        <f t="shared" si="27"/>
        <v>6.6300365081912105</v>
      </c>
      <c r="Y37" s="34">
        <f t="shared" si="27"/>
        <v>6.6300365081912105</v>
      </c>
      <c r="Z37" s="34">
        <f t="shared" si="27"/>
        <v>6.6300365081912105</v>
      </c>
      <c r="AA37" s="34">
        <f t="shared" si="27"/>
        <v>6.6300365081912105</v>
      </c>
      <c r="AB37" s="34">
        <f t="shared" si="27"/>
        <v>6.6300365081912105</v>
      </c>
    </row>
    <row r="38" spans="1:28" x14ac:dyDescent="0.25">
      <c r="A38" s="10" t="s">
        <v>313</v>
      </c>
      <c r="B38" s="10">
        <v>22</v>
      </c>
      <c r="C38" s="34">
        <f t="shared" ref="C38:AB38" si="28">IF(AND(C$1&gt;=$B38,C$1&lt;($B38+ink_na_duur)),ink_na_interesse_maand*$Y$6,0)</f>
        <v>0</v>
      </c>
      <c r="D38" s="34">
        <f t="shared" si="28"/>
        <v>0</v>
      </c>
      <c r="E38" s="34">
        <f t="shared" si="28"/>
        <v>0</v>
      </c>
      <c r="F38" s="34">
        <f t="shared" si="28"/>
        <v>0</v>
      </c>
      <c r="G38" s="34">
        <f t="shared" si="28"/>
        <v>0</v>
      </c>
      <c r="H38" s="34">
        <f t="shared" si="28"/>
        <v>0</v>
      </c>
      <c r="I38" s="34">
        <f t="shared" si="28"/>
        <v>0</v>
      </c>
      <c r="J38" s="34">
        <f t="shared" si="28"/>
        <v>0</v>
      </c>
      <c r="K38" s="34">
        <f t="shared" si="28"/>
        <v>0</v>
      </c>
      <c r="L38" s="34">
        <f t="shared" si="28"/>
        <v>0</v>
      </c>
      <c r="M38" s="34">
        <f t="shared" si="28"/>
        <v>0</v>
      </c>
      <c r="N38" s="34">
        <f t="shared" si="28"/>
        <v>0</v>
      </c>
      <c r="O38" s="34">
        <f t="shared" si="28"/>
        <v>0</v>
      </c>
      <c r="P38" s="34">
        <f t="shared" si="28"/>
        <v>0</v>
      </c>
      <c r="Q38" s="34">
        <f t="shared" si="28"/>
        <v>0</v>
      </c>
      <c r="R38" s="34">
        <f t="shared" si="28"/>
        <v>0</v>
      </c>
      <c r="S38" s="34">
        <f t="shared" si="28"/>
        <v>0</v>
      </c>
      <c r="T38" s="34">
        <f t="shared" si="28"/>
        <v>0</v>
      </c>
      <c r="U38" s="34">
        <f t="shared" si="28"/>
        <v>0</v>
      </c>
      <c r="V38" s="34">
        <f t="shared" si="28"/>
        <v>0</v>
      </c>
      <c r="W38" s="34">
        <f t="shared" si="28"/>
        <v>0</v>
      </c>
      <c r="X38" s="34">
        <f t="shared" si="28"/>
        <v>0</v>
      </c>
      <c r="Y38" s="34">
        <f t="shared" si="28"/>
        <v>6.3648350478633802</v>
      </c>
      <c r="Z38" s="34">
        <f t="shared" si="28"/>
        <v>6.3648350478633802</v>
      </c>
      <c r="AA38" s="34">
        <f t="shared" si="28"/>
        <v>6.3648350478633802</v>
      </c>
      <c r="AB38" s="34">
        <f t="shared" si="28"/>
        <v>6.3648350478633802</v>
      </c>
    </row>
    <row r="39" spans="1:28" x14ac:dyDescent="0.25">
      <c r="A39" s="10" t="s">
        <v>314</v>
      </c>
      <c r="B39" s="10">
        <v>23</v>
      </c>
      <c r="C39" s="34">
        <f t="shared" ref="C39:AB39" si="29">IF(AND(C$1&gt;=$B39,C$1&lt;($B39+ink_na_duur)),ink_na_interesse_maand*$Z$6,0)</f>
        <v>0</v>
      </c>
      <c r="D39" s="34">
        <f t="shared" si="29"/>
        <v>0</v>
      </c>
      <c r="E39" s="34">
        <f t="shared" si="29"/>
        <v>0</v>
      </c>
      <c r="F39" s="34">
        <f t="shared" si="29"/>
        <v>0</v>
      </c>
      <c r="G39" s="34">
        <f t="shared" si="29"/>
        <v>0</v>
      </c>
      <c r="H39" s="34">
        <f t="shared" si="29"/>
        <v>0</v>
      </c>
      <c r="I39" s="34">
        <f t="shared" si="29"/>
        <v>0</v>
      </c>
      <c r="J39" s="34">
        <f t="shared" si="29"/>
        <v>0</v>
      </c>
      <c r="K39" s="34">
        <f t="shared" si="29"/>
        <v>0</v>
      </c>
      <c r="L39" s="34">
        <f t="shared" si="29"/>
        <v>0</v>
      </c>
      <c r="M39" s="34">
        <f t="shared" si="29"/>
        <v>0</v>
      </c>
      <c r="N39" s="34">
        <f t="shared" si="29"/>
        <v>0</v>
      </c>
      <c r="O39" s="34">
        <f t="shared" si="29"/>
        <v>0</v>
      </c>
      <c r="P39" s="34">
        <f t="shared" si="29"/>
        <v>0</v>
      </c>
      <c r="Q39" s="34">
        <f t="shared" si="29"/>
        <v>0</v>
      </c>
      <c r="R39" s="34">
        <f t="shared" si="29"/>
        <v>0</v>
      </c>
      <c r="S39" s="34">
        <f t="shared" si="29"/>
        <v>0</v>
      </c>
      <c r="T39" s="34">
        <f t="shared" si="29"/>
        <v>0</v>
      </c>
      <c r="U39" s="34">
        <f t="shared" si="29"/>
        <v>0</v>
      </c>
      <c r="V39" s="34">
        <f t="shared" si="29"/>
        <v>0</v>
      </c>
      <c r="W39" s="34">
        <f t="shared" si="29"/>
        <v>0</v>
      </c>
      <c r="X39" s="34">
        <f t="shared" si="29"/>
        <v>0</v>
      </c>
      <c r="Y39" s="34">
        <f t="shared" si="29"/>
        <v>0</v>
      </c>
      <c r="Z39" s="34">
        <f t="shared" si="29"/>
        <v>6.1102416459490314</v>
      </c>
      <c r="AA39" s="34">
        <f t="shared" si="29"/>
        <v>6.1102416459490314</v>
      </c>
      <c r="AB39" s="34">
        <f t="shared" si="29"/>
        <v>6.1102416459490314</v>
      </c>
    </row>
    <row r="40" spans="1:28" x14ac:dyDescent="0.25">
      <c r="A40" s="10" t="s">
        <v>315</v>
      </c>
      <c r="B40" s="10">
        <v>24</v>
      </c>
      <c r="C40" s="34">
        <f t="shared" ref="C40:AB40" si="30">IF(AND(C$1&gt;=$B40,C$1&lt;($B40+ink_na_duur)),ink_na_interesse_maand*$AA$6,0)</f>
        <v>0</v>
      </c>
      <c r="D40" s="34">
        <f t="shared" si="30"/>
        <v>0</v>
      </c>
      <c r="E40" s="34">
        <f t="shared" si="30"/>
        <v>0</v>
      </c>
      <c r="F40" s="34">
        <f t="shared" si="30"/>
        <v>0</v>
      </c>
      <c r="G40" s="34">
        <f t="shared" si="30"/>
        <v>0</v>
      </c>
      <c r="H40" s="34">
        <f t="shared" si="30"/>
        <v>0</v>
      </c>
      <c r="I40" s="34">
        <f t="shared" si="30"/>
        <v>0</v>
      </c>
      <c r="J40" s="34">
        <f t="shared" si="30"/>
        <v>0</v>
      </c>
      <c r="K40" s="34">
        <f t="shared" si="30"/>
        <v>0</v>
      </c>
      <c r="L40" s="34">
        <f t="shared" si="30"/>
        <v>0</v>
      </c>
      <c r="M40" s="34">
        <f t="shared" si="30"/>
        <v>0</v>
      </c>
      <c r="N40" s="34">
        <f t="shared" si="30"/>
        <v>0</v>
      </c>
      <c r="O40" s="34">
        <f t="shared" si="30"/>
        <v>0</v>
      </c>
      <c r="P40" s="34">
        <f t="shared" si="30"/>
        <v>0</v>
      </c>
      <c r="Q40" s="34">
        <f t="shared" si="30"/>
        <v>0</v>
      </c>
      <c r="R40" s="34">
        <f t="shared" si="30"/>
        <v>0</v>
      </c>
      <c r="S40" s="34">
        <f t="shared" si="30"/>
        <v>0</v>
      </c>
      <c r="T40" s="34">
        <f t="shared" si="30"/>
        <v>0</v>
      </c>
      <c r="U40" s="34">
        <f t="shared" si="30"/>
        <v>0</v>
      </c>
      <c r="V40" s="34">
        <f t="shared" si="30"/>
        <v>0</v>
      </c>
      <c r="W40" s="34">
        <f t="shared" si="30"/>
        <v>0</v>
      </c>
      <c r="X40" s="34">
        <f t="shared" si="30"/>
        <v>0</v>
      </c>
      <c r="Y40" s="34">
        <f t="shared" si="30"/>
        <v>0</v>
      </c>
      <c r="Z40" s="34">
        <f t="shared" si="30"/>
        <v>0</v>
      </c>
      <c r="AA40" s="34">
        <f t="shared" si="30"/>
        <v>5.8658319801108973</v>
      </c>
      <c r="AB40" s="34">
        <f t="shared" si="30"/>
        <v>5.8658319801108973</v>
      </c>
    </row>
    <row r="41" spans="1:28" x14ac:dyDescent="0.25">
      <c r="A41" s="10" t="s">
        <v>316</v>
      </c>
      <c r="B41" s="10">
        <v>25</v>
      </c>
      <c r="C41" s="34">
        <f t="shared" ref="C41:AB41" si="31">IF(AND(C$1&gt;=$B41,C$1&lt;($B41+ink_na_duur)),ink_na_interesse_maand*$AB$6,0)</f>
        <v>0</v>
      </c>
      <c r="D41" s="34">
        <f t="shared" si="31"/>
        <v>0</v>
      </c>
      <c r="E41" s="34">
        <f t="shared" si="31"/>
        <v>0</v>
      </c>
      <c r="F41" s="34">
        <f t="shared" si="31"/>
        <v>0</v>
      </c>
      <c r="G41" s="34">
        <f t="shared" si="31"/>
        <v>0</v>
      </c>
      <c r="H41" s="34">
        <f t="shared" si="31"/>
        <v>0</v>
      </c>
      <c r="I41" s="34">
        <f t="shared" si="31"/>
        <v>0</v>
      </c>
      <c r="J41" s="34">
        <f t="shared" si="31"/>
        <v>0</v>
      </c>
      <c r="K41" s="34">
        <f t="shared" si="31"/>
        <v>0</v>
      </c>
      <c r="L41" s="34">
        <f t="shared" si="31"/>
        <v>0</v>
      </c>
      <c r="M41" s="34">
        <f t="shared" si="31"/>
        <v>0</v>
      </c>
      <c r="N41" s="34">
        <f t="shared" si="31"/>
        <v>0</v>
      </c>
      <c r="O41" s="34">
        <f t="shared" si="31"/>
        <v>0</v>
      </c>
      <c r="P41" s="34">
        <f t="shared" si="31"/>
        <v>0</v>
      </c>
      <c r="Q41" s="34">
        <f t="shared" si="31"/>
        <v>0</v>
      </c>
      <c r="R41" s="34">
        <f t="shared" si="31"/>
        <v>0</v>
      </c>
      <c r="S41" s="34">
        <f t="shared" si="31"/>
        <v>0</v>
      </c>
      <c r="T41" s="34">
        <f t="shared" si="31"/>
        <v>0</v>
      </c>
      <c r="U41" s="34">
        <f t="shared" si="31"/>
        <v>0</v>
      </c>
      <c r="V41" s="34">
        <f t="shared" si="31"/>
        <v>0</v>
      </c>
      <c r="W41" s="34">
        <f t="shared" si="31"/>
        <v>0</v>
      </c>
      <c r="X41" s="34">
        <f t="shared" si="31"/>
        <v>0</v>
      </c>
      <c r="Y41" s="34">
        <f t="shared" si="31"/>
        <v>0</v>
      </c>
      <c r="Z41" s="34">
        <f t="shared" si="31"/>
        <v>0</v>
      </c>
      <c r="AA41" s="34">
        <f t="shared" si="31"/>
        <v>0</v>
      </c>
      <c r="AB41" s="34">
        <f t="shared" si="31"/>
        <v>5.631198700906566</v>
      </c>
    </row>
  </sheetData>
  <sheetProtection algorithmName="SHA-512" hashValue="E5S7pr090Yzt617iiEmWwU8yd2yb43t9C7bqR6jJhW5EsPJZkPttQmHQvb5MImCqSj2Tp5YrnBG429WzOqrtGQ==" saltValue="EZszdyyxIdUWcSwvPhRfrA==" spinCount="100000" sheet="1" objects="1" scenarios="1"/>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C64"/>
  <sheetViews>
    <sheetView topLeftCell="A43" workbookViewId="0">
      <selection activeCell="E24" sqref="E24"/>
    </sheetView>
  </sheetViews>
  <sheetFormatPr defaultRowHeight="15" x14ac:dyDescent="0.25"/>
  <cols>
    <col min="1" max="1" width="30.140625" customWidth="1"/>
    <col min="2" max="2" width="3.28515625" customWidth="1"/>
    <col min="3" max="23" width="15.140625" bestFit="1" customWidth="1"/>
    <col min="24" max="28" width="14.140625" bestFit="1" customWidth="1"/>
  </cols>
  <sheetData>
    <row r="1" spans="1:29" s="4" customFormat="1" ht="12" x14ac:dyDescent="0.2">
      <c r="A1" s="5" t="s">
        <v>28</v>
      </c>
      <c r="B1" s="5"/>
      <c r="C1" s="6">
        <v>0</v>
      </c>
      <c r="D1" s="6">
        <v>1</v>
      </c>
      <c r="E1" s="6">
        <v>2</v>
      </c>
      <c r="F1" s="6">
        <v>3</v>
      </c>
      <c r="G1" s="6">
        <v>4</v>
      </c>
      <c r="H1" s="6">
        <v>5</v>
      </c>
      <c r="I1" s="6">
        <v>6</v>
      </c>
      <c r="J1" s="6">
        <v>7</v>
      </c>
      <c r="K1" s="6">
        <v>8</v>
      </c>
      <c r="L1" s="6">
        <v>9</v>
      </c>
      <c r="M1" s="6">
        <v>10</v>
      </c>
      <c r="N1" s="6">
        <v>11</v>
      </c>
      <c r="O1" s="6">
        <v>12</v>
      </c>
      <c r="P1" s="6">
        <v>13</v>
      </c>
      <c r="Q1" s="6">
        <v>14</v>
      </c>
      <c r="R1" s="6">
        <v>15</v>
      </c>
      <c r="S1" s="6">
        <v>16</v>
      </c>
      <c r="T1" s="6">
        <v>17</v>
      </c>
      <c r="U1" s="6">
        <v>18</v>
      </c>
      <c r="V1" s="6">
        <v>19</v>
      </c>
      <c r="W1" s="6">
        <v>20</v>
      </c>
      <c r="X1" s="6">
        <v>21</v>
      </c>
      <c r="Y1" s="6">
        <v>22</v>
      </c>
      <c r="Z1" s="6">
        <v>23</v>
      </c>
      <c r="AA1" s="6">
        <v>24</v>
      </c>
      <c r="AB1" s="6">
        <v>25</v>
      </c>
      <c r="AC1" s="21"/>
    </row>
    <row r="2" spans="1:29" s="10" customFormat="1" ht="12" x14ac:dyDescent="0.2">
      <c r="A2" s="7" t="s">
        <v>47</v>
      </c>
      <c r="B2" s="7"/>
      <c r="C2" s="8"/>
      <c r="D2" s="8"/>
      <c r="E2" s="8"/>
      <c r="F2" s="8"/>
      <c r="G2" s="8"/>
      <c r="H2" s="8"/>
      <c r="I2" s="8"/>
      <c r="J2" s="8"/>
      <c r="K2" s="8"/>
      <c r="L2" s="8"/>
      <c r="M2" s="9"/>
      <c r="N2" s="9"/>
      <c r="O2" s="9"/>
      <c r="P2" s="9"/>
      <c r="Q2" s="9"/>
      <c r="R2" s="9"/>
      <c r="S2" s="9"/>
      <c r="T2" s="9"/>
      <c r="U2" s="9"/>
      <c r="V2" s="9"/>
      <c r="W2" s="9"/>
      <c r="X2" s="9"/>
      <c r="Y2" s="9"/>
      <c r="Z2" s="9"/>
      <c r="AA2" s="9"/>
      <c r="AB2" s="9"/>
      <c r="AC2" s="21"/>
    </row>
    <row r="3" spans="1:29" s="4" customFormat="1" ht="12" x14ac:dyDescent="0.2">
      <c r="A3" s="21" t="s">
        <v>188</v>
      </c>
      <c r="B3" s="21"/>
      <c r="C3" s="24">
        <f>kost_netwerk*pen_aantal+C4</f>
        <v>7500000</v>
      </c>
      <c r="D3" s="24">
        <f>C3+D4</f>
        <v>7200000</v>
      </c>
      <c r="E3" s="24">
        <f t="shared" ref="E3:AB3" si="0">D3+E4</f>
        <v>6900000</v>
      </c>
      <c r="F3" s="24">
        <f t="shared" si="0"/>
        <v>6600000</v>
      </c>
      <c r="G3" s="24">
        <f t="shared" si="0"/>
        <v>6300000</v>
      </c>
      <c r="H3" s="24">
        <f t="shared" si="0"/>
        <v>6000000</v>
      </c>
      <c r="I3" s="24">
        <f t="shared" si="0"/>
        <v>5700000</v>
      </c>
      <c r="J3" s="24">
        <f t="shared" si="0"/>
        <v>5400000</v>
      </c>
      <c r="K3" s="24">
        <f t="shared" si="0"/>
        <v>5100000</v>
      </c>
      <c r="L3" s="24">
        <f t="shared" si="0"/>
        <v>4800000</v>
      </c>
      <c r="M3" s="24">
        <f t="shared" si="0"/>
        <v>4500000</v>
      </c>
      <c r="N3" s="24">
        <f t="shared" si="0"/>
        <v>4200000</v>
      </c>
      <c r="O3" s="24">
        <f t="shared" si="0"/>
        <v>3900000</v>
      </c>
      <c r="P3" s="24">
        <f t="shared" si="0"/>
        <v>3600000</v>
      </c>
      <c r="Q3" s="24">
        <f t="shared" si="0"/>
        <v>3300000</v>
      </c>
      <c r="R3" s="24">
        <f t="shared" si="0"/>
        <v>3000000</v>
      </c>
      <c r="S3" s="24">
        <f t="shared" si="0"/>
        <v>2700000</v>
      </c>
      <c r="T3" s="24">
        <f t="shared" si="0"/>
        <v>2400000</v>
      </c>
      <c r="U3" s="24">
        <f t="shared" si="0"/>
        <v>2100000</v>
      </c>
      <c r="V3" s="24">
        <f t="shared" si="0"/>
        <v>1800000</v>
      </c>
      <c r="W3" s="24">
        <f t="shared" si="0"/>
        <v>1500000</v>
      </c>
      <c r="X3" s="24">
        <f t="shared" si="0"/>
        <v>1200000</v>
      </c>
      <c r="Y3" s="24">
        <f t="shared" si="0"/>
        <v>900000</v>
      </c>
      <c r="Z3" s="24">
        <f>Y3+Z4</f>
        <v>600000</v>
      </c>
      <c r="AA3" s="24">
        <f t="shared" si="0"/>
        <v>300000</v>
      </c>
      <c r="AB3" s="24">
        <f t="shared" si="0"/>
        <v>0</v>
      </c>
      <c r="AC3" s="21"/>
    </row>
    <row r="4" spans="1:29" s="4" customFormat="1" ht="12" x14ac:dyDescent="0.2">
      <c r="A4" s="21" t="s">
        <v>42</v>
      </c>
      <c r="B4" s="21"/>
      <c r="C4" s="24">
        <f t="shared" ref="C4:AA4" si="1">IF(AND(C1&gt;=1,C1&lt;gen_afs_termijn),-(kost_netwerk*pen_aantal)/gen_afs_termijn,0)</f>
        <v>0</v>
      </c>
      <c r="D4" s="58">
        <f t="shared" si="1"/>
        <v>-300000</v>
      </c>
      <c r="E4" s="58">
        <f t="shared" si="1"/>
        <v>-300000</v>
      </c>
      <c r="F4" s="58">
        <f t="shared" si="1"/>
        <v>-300000</v>
      </c>
      <c r="G4" s="58">
        <f t="shared" si="1"/>
        <v>-300000</v>
      </c>
      <c r="H4" s="58">
        <f t="shared" si="1"/>
        <v>-300000</v>
      </c>
      <c r="I4" s="58">
        <f t="shared" si="1"/>
        <v>-300000</v>
      </c>
      <c r="J4" s="58">
        <f t="shared" si="1"/>
        <v>-300000</v>
      </c>
      <c r="K4" s="58">
        <f t="shared" si="1"/>
        <v>-300000</v>
      </c>
      <c r="L4" s="58">
        <f t="shared" si="1"/>
        <v>-300000</v>
      </c>
      <c r="M4" s="58">
        <f t="shared" si="1"/>
        <v>-300000</v>
      </c>
      <c r="N4" s="58">
        <f t="shared" si="1"/>
        <v>-300000</v>
      </c>
      <c r="O4" s="58">
        <f t="shared" si="1"/>
        <v>-300000</v>
      </c>
      <c r="P4" s="58">
        <f t="shared" si="1"/>
        <v>-300000</v>
      </c>
      <c r="Q4" s="58">
        <f t="shared" si="1"/>
        <v>-300000</v>
      </c>
      <c r="R4" s="58">
        <f t="shared" si="1"/>
        <v>-300000</v>
      </c>
      <c r="S4" s="58">
        <f t="shared" si="1"/>
        <v>-300000</v>
      </c>
      <c r="T4" s="58">
        <f t="shared" si="1"/>
        <v>-300000</v>
      </c>
      <c r="U4" s="58">
        <f t="shared" si="1"/>
        <v>-300000</v>
      </c>
      <c r="V4" s="58">
        <f t="shared" si="1"/>
        <v>-300000</v>
      </c>
      <c r="W4" s="58">
        <f t="shared" si="1"/>
        <v>-300000</v>
      </c>
      <c r="X4" s="58">
        <f t="shared" si="1"/>
        <v>-300000</v>
      </c>
      <c r="Y4" s="58">
        <f t="shared" si="1"/>
        <v>-300000</v>
      </c>
      <c r="Z4" s="58">
        <f t="shared" si="1"/>
        <v>-300000</v>
      </c>
      <c r="AA4" s="58">
        <f t="shared" si="1"/>
        <v>-300000</v>
      </c>
      <c r="AB4" s="58">
        <f>IF(AND(AB1&gt;=1,AB1&lt;=gen_afs_termijn),-(kost_netwerk*pen_aantal)/gen_afs_termijn,0)</f>
        <v>-300000</v>
      </c>
      <c r="AC4" s="21"/>
    </row>
    <row r="5" spans="1:29" x14ac:dyDescent="0.25">
      <c r="A5" s="1"/>
      <c r="B5" s="1"/>
      <c r="C5" s="1"/>
      <c r="D5" s="1"/>
      <c r="E5" s="1"/>
      <c r="F5" s="1"/>
      <c r="G5" s="1"/>
      <c r="H5" s="1"/>
      <c r="I5" s="1"/>
      <c r="J5" s="1"/>
      <c r="K5" s="1"/>
      <c r="L5" s="1"/>
      <c r="M5" s="1"/>
      <c r="N5" s="1"/>
      <c r="O5" s="1"/>
      <c r="P5" s="1"/>
      <c r="Q5" s="1"/>
      <c r="R5" s="1"/>
      <c r="S5" s="1"/>
      <c r="T5" s="1"/>
      <c r="U5" s="1"/>
      <c r="V5" s="1"/>
      <c r="W5" s="1"/>
      <c r="X5" s="1"/>
      <c r="Y5" s="1"/>
      <c r="Z5" s="1"/>
      <c r="AA5" s="1"/>
      <c r="AB5" s="1"/>
    </row>
    <row r="6" spans="1:29" s="4" customFormat="1" ht="12" x14ac:dyDescent="0.2">
      <c r="A6" s="5" t="s">
        <v>28</v>
      </c>
      <c r="B6" s="5"/>
      <c r="C6" s="6">
        <v>0</v>
      </c>
      <c r="D6" s="6">
        <v>1</v>
      </c>
      <c r="E6" s="6">
        <v>2</v>
      </c>
      <c r="F6" s="6">
        <v>3</v>
      </c>
      <c r="G6" s="6">
        <v>4</v>
      </c>
      <c r="H6" s="6">
        <v>5</v>
      </c>
      <c r="I6" s="6">
        <v>6</v>
      </c>
      <c r="J6" s="6">
        <v>7</v>
      </c>
      <c r="K6" s="6">
        <v>8</v>
      </c>
      <c r="L6" s="6">
        <v>9</v>
      </c>
      <c r="M6" s="6">
        <v>10</v>
      </c>
      <c r="N6" s="6">
        <v>11</v>
      </c>
      <c r="O6" s="6">
        <v>12</v>
      </c>
      <c r="P6" s="6">
        <v>13</v>
      </c>
      <c r="Q6" s="6">
        <v>14</v>
      </c>
      <c r="R6" s="6">
        <v>15</v>
      </c>
      <c r="S6" s="6">
        <v>16</v>
      </c>
      <c r="T6" s="6">
        <v>17</v>
      </c>
      <c r="U6" s="6">
        <v>18</v>
      </c>
      <c r="V6" s="6">
        <v>19</v>
      </c>
      <c r="W6" s="6">
        <v>20</v>
      </c>
      <c r="X6" s="6">
        <v>21</v>
      </c>
      <c r="Y6" s="6">
        <v>22</v>
      </c>
      <c r="Z6" s="6">
        <v>23</v>
      </c>
      <c r="AA6" s="6">
        <v>24</v>
      </c>
      <c r="AB6" s="6">
        <v>25</v>
      </c>
      <c r="AC6" s="21"/>
    </row>
    <row r="7" spans="1:29" s="10" customFormat="1" ht="12" x14ac:dyDescent="0.2">
      <c r="A7" s="7" t="s">
        <v>189</v>
      </c>
      <c r="B7" s="7"/>
      <c r="C7" s="8"/>
      <c r="D7" s="8"/>
      <c r="E7" s="8"/>
      <c r="F7" s="8"/>
      <c r="G7" s="8"/>
      <c r="H7" s="8"/>
      <c r="I7" s="8"/>
      <c r="J7" s="8"/>
      <c r="K7" s="8"/>
      <c r="L7" s="8"/>
      <c r="M7" s="9"/>
      <c r="N7" s="9"/>
      <c r="O7" s="9"/>
      <c r="P7" s="9"/>
      <c r="Q7" s="9"/>
      <c r="R7" s="9"/>
      <c r="S7" s="9"/>
      <c r="T7" s="9"/>
      <c r="U7" s="9"/>
      <c r="V7" s="9"/>
      <c r="W7" s="9"/>
      <c r="X7" s="9"/>
      <c r="Y7" s="9"/>
      <c r="Z7" s="9"/>
      <c r="AA7" s="9"/>
      <c r="AB7" s="9"/>
      <c r="AC7" s="21"/>
    </row>
    <row r="8" spans="1:29" s="4" customFormat="1" ht="12" x14ac:dyDescent="0.2">
      <c r="A8" s="21" t="s">
        <v>243</v>
      </c>
      <c r="B8" s="21"/>
      <c r="C8" s="24">
        <f>-C9</f>
        <v>-1084710.7438016529</v>
      </c>
      <c r="D8" s="24">
        <f>C8-D9+D10</f>
        <v>-1052169.4214876033</v>
      </c>
      <c r="E8" s="24">
        <f t="shared" ref="E8:AB8" si="2">D8-E9+E10</f>
        <v>-1017675.619834711</v>
      </c>
      <c r="F8" s="24">
        <f t="shared" si="2"/>
        <v>-981307.43801652908</v>
      </c>
      <c r="G8" s="24">
        <f t="shared" si="2"/>
        <v>-943139.8512396696</v>
      </c>
      <c r="H8" s="24">
        <f t="shared" si="2"/>
        <v>-903244.83570247947</v>
      </c>
      <c r="I8" s="24">
        <f t="shared" si="2"/>
        <v>-861691.48855537211</v>
      </c>
      <c r="J8" s="24">
        <f t="shared" si="2"/>
        <v>-818499.5934035182</v>
      </c>
      <c r="K8" s="24">
        <f t="shared" si="2"/>
        <v>-773685.03919726692</v>
      </c>
      <c r="L8" s="24">
        <f t="shared" si="2"/>
        <v>-727259.457582918</v>
      </c>
      <c r="M8" s="24">
        <f t="shared" si="2"/>
        <v>-679229.75296364911</v>
      </c>
      <c r="N8" s="24">
        <f t="shared" si="2"/>
        <v>-629597.49033751339</v>
      </c>
      <c r="O8" s="24">
        <f t="shared" si="2"/>
        <v>-578358.09096734878</v>
      </c>
      <c r="P8" s="24">
        <f t="shared" si="2"/>
        <v>-525499.76284390897</v>
      </c>
      <c r="Q8" s="24">
        <f t="shared" si="2"/>
        <v>-471002.05634083686</v>
      </c>
      <c r="R8" s="24">
        <f t="shared" si="2"/>
        <v>-414833.87563235644</v>
      </c>
      <c r="S8" s="24">
        <f t="shared" si="2"/>
        <v>-356950.67473965709</v>
      </c>
      <c r="T8" s="24">
        <f t="shared" si="2"/>
        <v>-297290.3862655955</v>
      </c>
      <c r="U8" s="24">
        <f t="shared" si="2"/>
        <v>-235767.29186801193</v>
      </c>
      <c r="V8" s="24">
        <f t="shared" si="2"/>
        <v>-172262.36550607882</v>
      </c>
      <c r="W8" s="24">
        <f t="shared" si="2"/>
        <v>-106607.15146282599</v>
      </c>
      <c r="X8" s="24">
        <f t="shared" si="2"/>
        <v>-92790.2506655787</v>
      </c>
      <c r="Y8" s="24">
        <f t="shared" si="2"/>
        <v>-77277.280837003025</v>
      </c>
      <c r="Z8" s="24">
        <f t="shared" si="2"/>
        <v>-59368.973076247952</v>
      </c>
      <c r="AA8" s="24">
        <f t="shared" si="2"/>
        <v>-37688.28650935887</v>
      </c>
      <c r="AB8" s="24">
        <f t="shared" si="2"/>
        <v>-8144.2956418072717</v>
      </c>
      <c r="AC8" s="21"/>
    </row>
    <row r="9" spans="1:29" s="4" customFormat="1" ht="12" x14ac:dyDescent="0.2">
      <c r="A9" s="21" t="s">
        <v>245</v>
      </c>
      <c r="B9" s="21"/>
      <c r="C9" s="24">
        <f>SUM(Kasstromenoverzicht!B7:B8)</f>
        <v>1084710.7438016529</v>
      </c>
      <c r="D9" s="24">
        <f>SUM(Kasstromenoverzicht!C7:C8)</f>
        <v>21694.21487603306</v>
      </c>
      <c r="E9" s="24">
        <f>SUM(Kasstromenoverzicht!D7:D8)</f>
        <v>20826.44628099187</v>
      </c>
      <c r="F9" s="24">
        <f>SUM(Kasstromenoverzicht!E7:E8)</f>
        <v>19993.388429752005</v>
      </c>
      <c r="G9" s="24">
        <f>SUM(Kasstromenoverzicht!F7:F8)</f>
        <v>19193.652892561942</v>
      </c>
      <c r="H9" s="24">
        <f>SUM(Kasstromenoverzicht!G7:G8)</f>
        <v>18425.906776859418</v>
      </c>
      <c r="I9" s="24">
        <f>SUM(Kasstromenoverzicht!H7:H8)</f>
        <v>17688.870505785271</v>
      </c>
      <c r="J9" s="24">
        <f>SUM(Kasstromenoverzicht!I7:I8)</f>
        <v>16981.315685553698</v>
      </c>
      <c r="K9" s="24">
        <f>SUM(Kasstromenoverzicht!J7:J8)</f>
        <v>16302.063058131444</v>
      </c>
      <c r="L9" s="24">
        <f>SUM(Kasstromenoverzicht!K7:K8)</f>
        <v>15649.980535806311</v>
      </c>
      <c r="M9" s="24">
        <f>SUM(Kasstromenoverzicht!L7:L8)</f>
        <v>15023.981314374218</v>
      </c>
      <c r="N9" s="24">
        <f>SUM(Kasstromenoverzicht!M7:M8)</f>
        <v>14423.022061798945</v>
      </c>
      <c r="O9" s="24">
        <f>SUM(Kasstromenoverzicht!N7:N8)</f>
        <v>13846.101179327079</v>
      </c>
      <c r="P9" s="24">
        <f>SUM(Kasstromenoverzicht!O7:O8)</f>
        <v>13292.257132154069</v>
      </c>
      <c r="Q9" s="24">
        <f>SUM(Kasstromenoverzicht!P7:P8)</f>
        <v>12760.566846867952</v>
      </c>
      <c r="R9" s="24">
        <f>SUM(Kasstromenoverzicht!Q7:Q8)</f>
        <v>12250.144172993103</v>
      </c>
      <c r="S9" s="24">
        <f>SUM(Kasstromenoverzicht!R7:R8)</f>
        <v>11760.138406073431</v>
      </c>
      <c r="T9" s="24">
        <f>SUM(Kasstromenoverzicht!S7:S8)</f>
        <v>11289.732869830514</v>
      </c>
      <c r="U9" s="24">
        <f>SUM(Kasstromenoverzicht!T7:T8)</f>
        <v>10838.143555037333</v>
      </c>
      <c r="V9" s="24">
        <f>SUM(Kasstromenoverzicht!U7:U8)</f>
        <v>10404.617812835964</v>
      </c>
      <c r="W9" s="24">
        <f>SUM(Kasstromenoverzicht!V7:V8)</f>
        <v>9988.4331003222487</v>
      </c>
      <c r="X9" s="24">
        <f>SUM(Kasstromenoverzicht!W7:W8)</f>
        <v>9588.8957763096023</v>
      </c>
      <c r="Y9" s="24">
        <f>SUM(Kasstromenoverzicht!X7:X8)</f>
        <v>9205.3399452569556</v>
      </c>
      <c r="Z9" s="24">
        <f>SUM(Kasstromenoverzicht!Y7:Y8)</f>
        <v>8837.126347446947</v>
      </c>
      <c r="AA9" s="24">
        <f>SUM(Kasstromenoverzicht!Z7:Z8)</f>
        <v>8483.6412935488188</v>
      </c>
      <c r="AB9" s="24">
        <f>SUM(Kasstromenoverzicht!AA7:AA8)</f>
        <v>8144.295641807018</v>
      </c>
      <c r="AC9" s="21"/>
    </row>
    <row r="10" spans="1:29" s="4" customFormat="1" ht="12" x14ac:dyDescent="0.2">
      <c r="A10" s="41" t="s">
        <v>244</v>
      </c>
      <c r="B10" s="41"/>
      <c r="C10" s="42">
        <f>-C64</f>
        <v>0</v>
      </c>
      <c r="D10" s="42">
        <f>-D64</f>
        <v>54235.537190082643</v>
      </c>
      <c r="E10" s="42">
        <f t="shared" ref="E10:AB10" si="3">-E64</f>
        <v>55320.247933884297</v>
      </c>
      <c r="F10" s="42">
        <f t="shared" si="3"/>
        <v>56361.570247933887</v>
      </c>
      <c r="G10" s="42">
        <f t="shared" si="3"/>
        <v>57361.239669421484</v>
      </c>
      <c r="H10" s="42">
        <f t="shared" si="3"/>
        <v>58320.922314049581</v>
      </c>
      <c r="I10" s="42">
        <f t="shared" si="3"/>
        <v>59242.217652892556</v>
      </c>
      <c r="J10" s="42">
        <f t="shared" si="3"/>
        <v>60173.210837407569</v>
      </c>
      <c r="K10" s="42">
        <f t="shared" si="3"/>
        <v>61116.617264382774</v>
      </c>
      <c r="L10" s="42">
        <f t="shared" si="3"/>
        <v>62075.562150155209</v>
      </c>
      <c r="M10" s="42">
        <f t="shared" si="3"/>
        <v>63053.685933643101</v>
      </c>
      <c r="N10" s="42">
        <f t="shared" si="3"/>
        <v>64055.284687934713</v>
      </c>
      <c r="O10" s="42">
        <f t="shared" si="3"/>
        <v>65085.500549491779</v>
      </c>
      <c r="P10" s="42">
        <f t="shared" si="3"/>
        <v>66150.585255593862</v>
      </c>
      <c r="Q10" s="42">
        <f t="shared" si="3"/>
        <v>67258.273349940035</v>
      </c>
      <c r="R10" s="42">
        <f t="shared" si="3"/>
        <v>68418.324881473483</v>
      </c>
      <c r="S10" s="42">
        <f t="shared" si="3"/>
        <v>69643.3392987728</v>
      </c>
      <c r="T10" s="42">
        <f t="shared" si="3"/>
        <v>70950.021343892076</v>
      </c>
      <c r="U10" s="42">
        <f t="shared" si="3"/>
        <v>72361.237952620897</v>
      </c>
      <c r="V10" s="42">
        <f t="shared" si="3"/>
        <v>73909.544174769093</v>
      </c>
      <c r="W10" s="42">
        <f t="shared" si="3"/>
        <v>75643.647143575086</v>
      </c>
      <c r="X10" s="42">
        <f t="shared" si="3"/>
        <v>23405.79657355688</v>
      </c>
      <c r="Y10" s="42">
        <f t="shared" si="3"/>
        <v>24718.309773832632</v>
      </c>
      <c r="Z10" s="42">
        <f t="shared" si="3"/>
        <v>26745.434108202018</v>
      </c>
      <c r="AA10" s="42">
        <f t="shared" si="3"/>
        <v>30164.327860437894</v>
      </c>
      <c r="AB10" s="42">
        <f t="shared" si="3"/>
        <v>37688.286509358615</v>
      </c>
      <c r="AC10" s="21"/>
    </row>
    <row r="11" spans="1:29" s="4" customFormat="1" ht="12" x14ac:dyDescent="0.2">
      <c r="A11" s="21"/>
      <c r="B11" s="21"/>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1"/>
    </row>
    <row r="12" spans="1:29" s="4" customFormat="1" ht="12" x14ac:dyDescent="0.2">
      <c r="A12" s="21" t="s">
        <v>216</v>
      </c>
      <c r="B12" s="21">
        <v>0</v>
      </c>
      <c r="C12" s="38" t="b">
        <f>IF(AND($B12&lt;C$6,$B12+gen_uitsp_termijn&gt;=C$6),IF($B12+gen_uitsp_termijn&lt;MAX(Afschrijvingen!$C$6:$AB$6),gen_uitsp_termijn,MAX(Afschrijvingen!$C$6:$AB$6)-$B12))</f>
        <v>0</v>
      </c>
      <c r="D12" s="38">
        <f>IF(AND($B12&lt;D$6,$B12+gen_uitsp_termijn&gt;=D$6),IF($B12+gen_uitsp_termijn&lt;MAX(Afschrijvingen!$C$6:$AB$6),gen_uitsp_termijn,MAX(Afschrijvingen!$C$6:$AB$6)-$B12))</f>
        <v>20</v>
      </c>
      <c r="E12" s="38">
        <f>IF(AND($B12&lt;E$6,$B12+gen_uitsp_termijn&gt;=E$6),IF($B12+gen_uitsp_termijn&lt;MAX(Afschrijvingen!$C$6:$AB$6),gen_uitsp_termijn,MAX(Afschrijvingen!$C$6:$AB$6)-$B12))</f>
        <v>20</v>
      </c>
      <c r="F12" s="38">
        <f>IF(AND($B12&lt;F$6,$B12+gen_uitsp_termijn&gt;=F$6),IF($B12+gen_uitsp_termijn&lt;MAX(Afschrijvingen!$C$6:$AB$6),gen_uitsp_termijn,MAX(Afschrijvingen!$C$6:$AB$6)-$B12))</f>
        <v>20</v>
      </c>
      <c r="G12" s="38">
        <f>IF(AND($B12&lt;G$6,$B12+gen_uitsp_termijn&gt;=G$6),IF($B12+gen_uitsp_termijn&lt;MAX(Afschrijvingen!$C$6:$AB$6),gen_uitsp_termijn,MAX(Afschrijvingen!$C$6:$AB$6)-$B12))</f>
        <v>20</v>
      </c>
      <c r="H12" s="38">
        <f>IF(AND($B12&lt;H$6,$B12+gen_uitsp_termijn&gt;=H$6),IF($B12+gen_uitsp_termijn&lt;MAX(Afschrijvingen!$C$6:$AB$6),gen_uitsp_termijn,MAX(Afschrijvingen!$C$6:$AB$6)-$B12))</f>
        <v>20</v>
      </c>
      <c r="I12" s="38">
        <f>IF(AND($B12&lt;I$6,$B12+gen_uitsp_termijn&gt;=I$6),IF($B12+gen_uitsp_termijn&lt;MAX(Afschrijvingen!$C$6:$AB$6),gen_uitsp_termijn,MAX(Afschrijvingen!$C$6:$AB$6)-$B12))</f>
        <v>20</v>
      </c>
      <c r="J12" s="38">
        <f>IF(AND($B12&lt;J$6,$B12+gen_uitsp_termijn&gt;=J$6),IF($B12+gen_uitsp_termijn&lt;MAX(Afschrijvingen!$C$6:$AB$6),gen_uitsp_termijn,MAX(Afschrijvingen!$C$6:$AB$6)-$B12))</f>
        <v>20</v>
      </c>
      <c r="K12" s="38">
        <f>IF(AND($B12&lt;K$6,$B12+gen_uitsp_termijn&gt;=K$6),IF($B12+gen_uitsp_termijn&lt;MAX(Afschrijvingen!$C$6:$AB$6),gen_uitsp_termijn,MAX(Afschrijvingen!$C$6:$AB$6)-$B12))</f>
        <v>20</v>
      </c>
      <c r="L12" s="38">
        <f>IF(AND($B12&lt;L$6,$B12+gen_uitsp_termijn&gt;=L$6),IF($B12+gen_uitsp_termijn&lt;MAX(Afschrijvingen!$C$6:$AB$6),gen_uitsp_termijn,MAX(Afschrijvingen!$C$6:$AB$6)-$B12))</f>
        <v>20</v>
      </c>
      <c r="M12" s="38">
        <f>IF(AND($B12&lt;M$6,$B12+gen_uitsp_termijn&gt;=M$6),IF($B12+gen_uitsp_termijn&lt;MAX(Afschrijvingen!$C$6:$AB$6),gen_uitsp_termijn,MAX(Afschrijvingen!$C$6:$AB$6)-$B12))</f>
        <v>20</v>
      </c>
      <c r="N12" s="38">
        <f>IF(AND($B12&lt;N$6,$B12+gen_uitsp_termijn&gt;=N$6),IF($B12+gen_uitsp_termijn&lt;MAX(Afschrijvingen!$C$6:$AB$6),gen_uitsp_termijn,MAX(Afschrijvingen!$C$6:$AB$6)-$B12))</f>
        <v>20</v>
      </c>
      <c r="O12" s="38">
        <f>IF(AND($B12&lt;O$6,$B12+gen_uitsp_termijn&gt;=O$6),IF($B12+gen_uitsp_termijn&lt;MAX(Afschrijvingen!$C$6:$AB$6),gen_uitsp_termijn,MAX(Afschrijvingen!$C$6:$AB$6)-$B12))</f>
        <v>20</v>
      </c>
      <c r="P12" s="38">
        <f>IF(AND($B12&lt;P$6,$B12+gen_uitsp_termijn&gt;=P$6),IF($B12+gen_uitsp_termijn&lt;MAX(Afschrijvingen!$C$6:$AB$6),gen_uitsp_termijn,MAX(Afschrijvingen!$C$6:$AB$6)-$B12))</f>
        <v>20</v>
      </c>
      <c r="Q12" s="38">
        <f>IF(AND($B12&lt;Q$6,$B12+gen_uitsp_termijn&gt;=Q$6),IF($B12+gen_uitsp_termijn&lt;MAX(Afschrijvingen!$C$6:$AB$6),gen_uitsp_termijn,MAX(Afschrijvingen!$C$6:$AB$6)-$B12))</f>
        <v>20</v>
      </c>
      <c r="R12" s="38">
        <f>IF(AND($B12&lt;R$6,$B12+gen_uitsp_termijn&gt;=R$6),IF($B12+gen_uitsp_termijn&lt;MAX(Afschrijvingen!$C$6:$AB$6),gen_uitsp_termijn,MAX(Afschrijvingen!$C$6:$AB$6)-$B12))</f>
        <v>20</v>
      </c>
      <c r="S12" s="38">
        <f>IF(AND($B12&lt;S$6,$B12+gen_uitsp_termijn&gt;=S$6),IF($B12+gen_uitsp_termijn&lt;MAX(Afschrijvingen!$C$6:$AB$6),gen_uitsp_termijn,MAX(Afschrijvingen!$C$6:$AB$6)-$B12))</f>
        <v>20</v>
      </c>
      <c r="T12" s="38">
        <f>IF(AND($B12&lt;T$6,$B12+gen_uitsp_termijn&gt;=T$6),IF($B12+gen_uitsp_termijn&lt;MAX(Afschrijvingen!$C$6:$AB$6),gen_uitsp_termijn,MAX(Afschrijvingen!$C$6:$AB$6)-$B12))</f>
        <v>20</v>
      </c>
      <c r="U12" s="38">
        <f>IF(AND($B12&lt;U$6,$B12+gen_uitsp_termijn&gt;=U$6),IF($B12+gen_uitsp_termijn&lt;MAX(Afschrijvingen!$C$6:$AB$6),gen_uitsp_termijn,MAX(Afschrijvingen!$C$6:$AB$6)-$B12))</f>
        <v>20</v>
      </c>
      <c r="V12" s="38">
        <f>IF(AND($B12&lt;V$6,$B12+gen_uitsp_termijn&gt;=V$6),IF($B12+gen_uitsp_termijn&lt;MAX(Afschrijvingen!$C$6:$AB$6),gen_uitsp_termijn,MAX(Afschrijvingen!$C$6:$AB$6)-$B12))</f>
        <v>20</v>
      </c>
      <c r="W12" s="38">
        <f>IF(AND($B12&lt;W$6,$B12+gen_uitsp_termijn&gt;=W$6),IF($B12+gen_uitsp_termijn&lt;MAX(Afschrijvingen!$C$6:$AB$6),gen_uitsp_termijn,MAX(Afschrijvingen!$C$6:$AB$6)-$B12))</f>
        <v>20</v>
      </c>
      <c r="X12" s="38" t="b">
        <f>IF(AND($B12&lt;X$6,$B12+gen_uitsp_termijn&gt;=X$6),IF($B12+gen_uitsp_termijn&lt;MAX(Afschrijvingen!$C$6:$AB$6),gen_uitsp_termijn,MAX(Afschrijvingen!$C$6:$AB$6)-$B12))</f>
        <v>0</v>
      </c>
      <c r="Y12" s="38" t="b">
        <f>IF(AND($B12&lt;Y$6,$B12+gen_uitsp_termijn&gt;=Y$6),IF($B12+gen_uitsp_termijn&lt;MAX(Afschrijvingen!$C$6:$AB$6),gen_uitsp_termijn,MAX(Afschrijvingen!$C$6:$AB$6)-$B12))</f>
        <v>0</v>
      </c>
      <c r="Z12" s="38" t="b">
        <f>IF(AND($B12&lt;Z$6,$B12+gen_uitsp_termijn&gt;=Z$6),IF($B12+gen_uitsp_termijn&lt;MAX(Afschrijvingen!$C$6:$AB$6),gen_uitsp_termijn,MAX(Afschrijvingen!$C$6:$AB$6)-$B12))</f>
        <v>0</v>
      </c>
      <c r="AA12" s="38" t="b">
        <f>IF(AND($B12&lt;AA$6,$B12+gen_uitsp_termijn&gt;=AA$6),IF($B12+gen_uitsp_termijn&lt;MAX(Afschrijvingen!$C$6:$AB$6),gen_uitsp_termijn,MAX(Afschrijvingen!$C$6:$AB$6)-$B12))</f>
        <v>0</v>
      </c>
      <c r="AB12" s="38" t="b">
        <f>IF(AND($B12&lt;AB$6,$B12+gen_uitsp_termijn&gt;=AB$6),IF($B12+gen_uitsp_termijn&lt;MAX(Afschrijvingen!$C$6:$AB$6),gen_uitsp_termijn,MAX(Afschrijvingen!$C$6:$AB$6)-$B12))</f>
        <v>0</v>
      </c>
      <c r="AC12" s="21"/>
    </row>
    <row r="13" spans="1:29" s="4" customFormat="1" ht="12" x14ac:dyDescent="0.2">
      <c r="A13" s="21" t="s">
        <v>217</v>
      </c>
      <c r="B13" s="21">
        <v>1</v>
      </c>
      <c r="C13" s="38" t="b">
        <f>IF(AND($B13&lt;C$6,$B13+gen_uitsp_termijn&gt;=C$6),IF($B13+gen_uitsp_termijn&lt;MAX(Afschrijvingen!$C$6:$AB$6),gen_uitsp_termijn,MAX(Afschrijvingen!$C$6:$AB$6)-$B13))</f>
        <v>0</v>
      </c>
      <c r="D13" s="38" t="b">
        <f>IF(AND($B13&lt;D$6,$B13+gen_uitsp_termijn&gt;=D$6),IF($B13+gen_uitsp_termijn&lt;MAX(Afschrijvingen!$C$6:$AB$6),gen_uitsp_termijn,MAX(Afschrijvingen!$C$6:$AB$6)-$B13))</f>
        <v>0</v>
      </c>
      <c r="E13" s="38">
        <f>IF(AND($B13&lt;E$6,$B13+gen_uitsp_termijn&gt;=E$6),IF($B13+gen_uitsp_termijn&lt;MAX(Afschrijvingen!$C$6:$AB$6),gen_uitsp_termijn,MAX(Afschrijvingen!$C$6:$AB$6)-$B13))</f>
        <v>20</v>
      </c>
      <c r="F13" s="38">
        <f>IF(AND($B13&lt;F$6,$B13+gen_uitsp_termijn&gt;=F$6),IF($B13+gen_uitsp_termijn&lt;MAX(Afschrijvingen!$C$6:$AB$6),gen_uitsp_termijn,MAX(Afschrijvingen!$C$6:$AB$6)-$B13))</f>
        <v>20</v>
      </c>
      <c r="G13" s="38">
        <f>IF(AND($B13&lt;G$6,$B13+gen_uitsp_termijn&gt;=G$6),IF($B13+gen_uitsp_termijn&lt;MAX(Afschrijvingen!$C$6:$AB$6),gen_uitsp_termijn,MAX(Afschrijvingen!$C$6:$AB$6)-$B13))</f>
        <v>20</v>
      </c>
      <c r="H13" s="38">
        <f>IF(AND($B13&lt;H$6,$B13+gen_uitsp_termijn&gt;=H$6),IF($B13+gen_uitsp_termijn&lt;MAX(Afschrijvingen!$C$6:$AB$6),gen_uitsp_termijn,MAX(Afschrijvingen!$C$6:$AB$6)-$B13))</f>
        <v>20</v>
      </c>
      <c r="I13" s="38">
        <f>IF(AND($B13&lt;I$6,$B13+gen_uitsp_termijn&gt;=I$6),IF($B13+gen_uitsp_termijn&lt;MAX(Afschrijvingen!$C$6:$AB$6),gen_uitsp_termijn,MAX(Afschrijvingen!$C$6:$AB$6)-$B13))</f>
        <v>20</v>
      </c>
      <c r="J13" s="38">
        <f>IF(AND($B13&lt;J$6,$B13+gen_uitsp_termijn&gt;=J$6),IF($B13+gen_uitsp_termijn&lt;MAX(Afschrijvingen!$C$6:$AB$6),gen_uitsp_termijn,MAX(Afschrijvingen!$C$6:$AB$6)-$B13))</f>
        <v>20</v>
      </c>
      <c r="K13" s="38">
        <f>IF(AND($B13&lt;K$6,$B13+gen_uitsp_termijn&gt;=K$6),IF($B13+gen_uitsp_termijn&lt;MAX(Afschrijvingen!$C$6:$AB$6),gen_uitsp_termijn,MAX(Afschrijvingen!$C$6:$AB$6)-$B13))</f>
        <v>20</v>
      </c>
      <c r="L13" s="38">
        <f>IF(AND($B13&lt;L$6,$B13+gen_uitsp_termijn&gt;=L$6),IF($B13+gen_uitsp_termijn&lt;MAX(Afschrijvingen!$C$6:$AB$6),gen_uitsp_termijn,MAX(Afschrijvingen!$C$6:$AB$6)-$B13))</f>
        <v>20</v>
      </c>
      <c r="M13" s="38">
        <f>IF(AND($B13&lt;M$6,$B13+gen_uitsp_termijn&gt;=M$6),IF($B13+gen_uitsp_termijn&lt;MAX(Afschrijvingen!$C$6:$AB$6),gen_uitsp_termijn,MAX(Afschrijvingen!$C$6:$AB$6)-$B13))</f>
        <v>20</v>
      </c>
      <c r="N13" s="38">
        <f>IF(AND($B13&lt;N$6,$B13+gen_uitsp_termijn&gt;=N$6),IF($B13+gen_uitsp_termijn&lt;MAX(Afschrijvingen!$C$6:$AB$6),gen_uitsp_termijn,MAX(Afschrijvingen!$C$6:$AB$6)-$B13))</f>
        <v>20</v>
      </c>
      <c r="O13" s="38">
        <f>IF(AND($B13&lt;O$6,$B13+gen_uitsp_termijn&gt;=O$6),IF($B13+gen_uitsp_termijn&lt;MAX(Afschrijvingen!$C$6:$AB$6),gen_uitsp_termijn,MAX(Afschrijvingen!$C$6:$AB$6)-$B13))</f>
        <v>20</v>
      </c>
      <c r="P13" s="38">
        <f>IF(AND($B13&lt;P$6,$B13+gen_uitsp_termijn&gt;=P$6),IF($B13+gen_uitsp_termijn&lt;MAX(Afschrijvingen!$C$6:$AB$6),gen_uitsp_termijn,MAX(Afschrijvingen!$C$6:$AB$6)-$B13))</f>
        <v>20</v>
      </c>
      <c r="Q13" s="38">
        <f>IF(AND($B13&lt;Q$6,$B13+gen_uitsp_termijn&gt;=Q$6),IF($B13+gen_uitsp_termijn&lt;MAX(Afschrijvingen!$C$6:$AB$6),gen_uitsp_termijn,MAX(Afschrijvingen!$C$6:$AB$6)-$B13))</f>
        <v>20</v>
      </c>
      <c r="R13" s="38">
        <f>IF(AND($B13&lt;R$6,$B13+gen_uitsp_termijn&gt;=R$6),IF($B13+gen_uitsp_termijn&lt;MAX(Afschrijvingen!$C$6:$AB$6),gen_uitsp_termijn,MAX(Afschrijvingen!$C$6:$AB$6)-$B13))</f>
        <v>20</v>
      </c>
      <c r="S13" s="38">
        <f>IF(AND($B13&lt;S$6,$B13+gen_uitsp_termijn&gt;=S$6),IF($B13+gen_uitsp_termijn&lt;MAX(Afschrijvingen!$C$6:$AB$6),gen_uitsp_termijn,MAX(Afschrijvingen!$C$6:$AB$6)-$B13))</f>
        <v>20</v>
      </c>
      <c r="T13" s="38">
        <f>IF(AND($B13&lt;T$6,$B13+gen_uitsp_termijn&gt;=T$6),IF($B13+gen_uitsp_termijn&lt;MAX(Afschrijvingen!$C$6:$AB$6),gen_uitsp_termijn,MAX(Afschrijvingen!$C$6:$AB$6)-$B13))</f>
        <v>20</v>
      </c>
      <c r="U13" s="38">
        <f>IF(AND($B13&lt;U$6,$B13+gen_uitsp_termijn&gt;=U$6),IF($B13+gen_uitsp_termijn&lt;MAX(Afschrijvingen!$C$6:$AB$6),gen_uitsp_termijn,MAX(Afschrijvingen!$C$6:$AB$6)-$B13))</f>
        <v>20</v>
      </c>
      <c r="V13" s="38">
        <f>IF(AND($B13&lt;V$6,$B13+gen_uitsp_termijn&gt;=V$6),IF($B13+gen_uitsp_termijn&lt;MAX(Afschrijvingen!$C$6:$AB$6),gen_uitsp_termijn,MAX(Afschrijvingen!$C$6:$AB$6)-$B13))</f>
        <v>20</v>
      </c>
      <c r="W13" s="38">
        <f>IF(AND($B13&lt;W$6,$B13+gen_uitsp_termijn&gt;=W$6),IF($B13+gen_uitsp_termijn&lt;MAX(Afschrijvingen!$C$6:$AB$6),gen_uitsp_termijn,MAX(Afschrijvingen!$C$6:$AB$6)-$B13))</f>
        <v>20</v>
      </c>
      <c r="X13" s="38">
        <f>IF(AND($B13&lt;X$6,$B13+gen_uitsp_termijn&gt;=X$6),IF($B13+gen_uitsp_termijn&lt;MAX(Afschrijvingen!$C$6:$AB$6),gen_uitsp_termijn,MAX(Afschrijvingen!$C$6:$AB$6)-$B13))</f>
        <v>20</v>
      </c>
      <c r="Y13" s="38" t="b">
        <f>IF(AND($B13&lt;Y$6,$B13+gen_uitsp_termijn&gt;=Y$6),IF($B13+gen_uitsp_termijn&lt;MAX(Afschrijvingen!$C$6:$AB$6),gen_uitsp_termijn,MAX(Afschrijvingen!$C$6:$AB$6)-$B13))</f>
        <v>0</v>
      </c>
      <c r="Z13" s="38" t="b">
        <f>IF(AND($B13&lt;Z$6,$B13+gen_uitsp_termijn&gt;=Z$6),IF($B13+gen_uitsp_termijn&lt;MAX(Afschrijvingen!$C$6:$AB$6),gen_uitsp_termijn,MAX(Afschrijvingen!$C$6:$AB$6)-$B13))</f>
        <v>0</v>
      </c>
      <c r="AA13" s="38" t="b">
        <f>IF(AND($B13&lt;AA$6,$B13+gen_uitsp_termijn&gt;=AA$6),IF($B13+gen_uitsp_termijn&lt;MAX(Afschrijvingen!$C$6:$AB$6),gen_uitsp_termijn,MAX(Afschrijvingen!$C$6:$AB$6)-$B13))</f>
        <v>0</v>
      </c>
      <c r="AB13" s="38" t="b">
        <f>IF(AND($B13&lt;AB$6,$B13+gen_uitsp_termijn&gt;=AB$6),IF($B13+gen_uitsp_termijn&lt;MAX(Afschrijvingen!$C$6:$AB$6),gen_uitsp_termijn,MAX(Afschrijvingen!$C$6:$AB$6)-$B13))</f>
        <v>0</v>
      </c>
      <c r="AC13" s="21"/>
    </row>
    <row r="14" spans="1:29" x14ac:dyDescent="0.25">
      <c r="A14" s="21" t="s">
        <v>218</v>
      </c>
      <c r="B14" s="21">
        <v>2</v>
      </c>
      <c r="C14" s="38" t="b">
        <f>IF(AND($B14&lt;C$6,$B14+gen_uitsp_termijn&gt;=C$6),IF($B14+gen_uitsp_termijn&lt;MAX(Afschrijvingen!$C$6:$AB$6),gen_uitsp_termijn,MAX(Afschrijvingen!$C$6:$AB$6)-$B14))</f>
        <v>0</v>
      </c>
      <c r="D14" s="38" t="b">
        <f>IF(AND($B14&lt;D$6,$B14+gen_uitsp_termijn&gt;=D$6),IF($B14+gen_uitsp_termijn&lt;MAX(Afschrijvingen!$C$6:$AB$6),gen_uitsp_termijn,MAX(Afschrijvingen!$C$6:$AB$6)-$B14))</f>
        <v>0</v>
      </c>
      <c r="E14" s="38" t="b">
        <f>IF(AND($B14&lt;E$6,$B14+gen_uitsp_termijn&gt;=E$6),IF($B14+gen_uitsp_termijn&lt;MAX(Afschrijvingen!$C$6:$AB$6),gen_uitsp_termijn,MAX(Afschrijvingen!$C$6:$AB$6)-$B14))</f>
        <v>0</v>
      </c>
      <c r="F14" s="38">
        <f>IF(AND($B14&lt;F$6,$B14+gen_uitsp_termijn&gt;=F$6),IF($B14+gen_uitsp_termijn&lt;MAX(Afschrijvingen!$C$6:$AB$6),gen_uitsp_termijn,MAX(Afschrijvingen!$C$6:$AB$6)-$B14))</f>
        <v>20</v>
      </c>
      <c r="G14" s="38">
        <f>IF(AND($B14&lt;G$6,$B14+gen_uitsp_termijn&gt;=G$6),IF($B14+gen_uitsp_termijn&lt;MAX(Afschrijvingen!$C$6:$AB$6),gen_uitsp_termijn,MAX(Afschrijvingen!$C$6:$AB$6)-$B14))</f>
        <v>20</v>
      </c>
      <c r="H14" s="38">
        <f>IF(AND($B14&lt;H$6,$B14+gen_uitsp_termijn&gt;=H$6),IF($B14+gen_uitsp_termijn&lt;MAX(Afschrijvingen!$C$6:$AB$6),gen_uitsp_termijn,MAX(Afschrijvingen!$C$6:$AB$6)-$B14))</f>
        <v>20</v>
      </c>
      <c r="I14" s="38">
        <f>IF(AND($B14&lt;I$6,$B14+gen_uitsp_termijn&gt;=I$6),IF($B14+gen_uitsp_termijn&lt;MAX(Afschrijvingen!$C$6:$AB$6),gen_uitsp_termijn,MAX(Afschrijvingen!$C$6:$AB$6)-$B14))</f>
        <v>20</v>
      </c>
      <c r="J14" s="38">
        <f>IF(AND($B14&lt;J$6,$B14+gen_uitsp_termijn&gt;=J$6),IF($B14+gen_uitsp_termijn&lt;MAX(Afschrijvingen!$C$6:$AB$6),gen_uitsp_termijn,MAX(Afschrijvingen!$C$6:$AB$6)-$B14))</f>
        <v>20</v>
      </c>
      <c r="K14" s="38">
        <f>IF(AND($B14&lt;K$6,$B14+gen_uitsp_termijn&gt;=K$6),IF($B14+gen_uitsp_termijn&lt;MAX(Afschrijvingen!$C$6:$AB$6),gen_uitsp_termijn,MAX(Afschrijvingen!$C$6:$AB$6)-$B14))</f>
        <v>20</v>
      </c>
      <c r="L14" s="38">
        <f>IF(AND($B14&lt;L$6,$B14+gen_uitsp_termijn&gt;=L$6),IF($B14+gen_uitsp_termijn&lt;MAX(Afschrijvingen!$C$6:$AB$6),gen_uitsp_termijn,MAX(Afschrijvingen!$C$6:$AB$6)-$B14))</f>
        <v>20</v>
      </c>
      <c r="M14" s="38">
        <f>IF(AND($B14&lt;M$6,$B14+gen_uitsp_termijn&gt;=M$6),IF($B14+gen_uitsp_termijn&lt;MAX(Afschrijvingen!$C$6:$AB$6),gen_uitsp_termijn,MAX(Afschrijvingen!$C$6:$AB$6)-$B14))</f>
        <v>20</v>
      </c>
      <c r="N14" s="38">
        <f>IF(AND($B14&lt;N$6,$B14+gen_uitsp_termijn&gt;=N$6),IF($B14+gen_uitsp_termijn&lt;MAX(Afschrijvingen!$C$6:$AB$6),gen_uitsp_termijn,MAX(Afschrijvingen!$C$6:$AB$6)-$B14))</f>
        <v>20</v>
      </c>
      <c r="O14" s="38">
        <f>IF(AND($B14&lt;O$6,$B14+gen_uitsp_termijn&gt;=O$6),IF($B14+gen_uitsp_termijn&lt;MAX(Afschrijvingen!$C$6:$AB$6),gen_uitsp_termijn,MAX(Afschrijvingen!$C$6:$AB$6)-$B14))</f>
        <v>20</v>
      </c>
      <c r="P14" s="38">
        <f>IF(AND($B14&lt;P$6,$B14+gen_uitsp_termijn&gt;=P$6),IF($B14+gen_uitsp_termijn&lt;MAX(Afschrijvingen!$C$6:$AB$6),gen_uitsp_termijn,MAX(Afschrijvingen!$C$6:$AB$6)-$B14))</f>
        <v>20</v>
      </c>
      <c r="Q14" s="38">
        <f>IF(AND($B14&lt;Q$6,$B14+gen_uitsp_termijn&gt;=Q$6),IF($B14+gen_uitsp_termijn&lt;MAX(Afschrijvingen!$C$6:$AB$6),gen_uitsp_termijn,MAX(Afschrijvingen!$C$6:$AB$6)-$B14))</f>
        <v>20</v>
      </c>
      <c r="R14" s="38">
        <f>IF(AND($B14&lt;R$6,$B14+gen_uitsp_termijn&gt;=R$6),IF($B14+gen_uitsp_termijn&lt;MAX(Afschrijvingen!$C$6:$AB$6),gen_uitsp_termijn,MAX(Afschrijvingen!$C$6:$AB$6)-$B14))</f>
        <v>20</v>
      </c>
      <c r="S14" s="38">
        <f>IF(AND($B14&lt;S$6,$B14+gen_uitsp_termijn&gt;=S$6),IF($B14+gen_uitsp_termijn&lt;MAX(Afschrijvingen!$C$6:$AB$6),gen_uitsp_termijn,MAX(Afschrijvingen!$C$6:$AB$6)-$B14))</f>
        <v>20</v>
      </c>
      <c r="T14" s="38">
        <f>IF(AND($B14&lt;T$6,$B14+gen_uitsp_termijn&gt;=T$6),IF($B14+gen_uitsp_termijn&lt;MAX(Afschrijvingen!$C$6:$AB$6),gen_uitsp_termijn,MAX(Afschrijvingen!$C$6:$AB$6)-$B14))</f>
        <v>20</v>
      </c>
      <c r="U14" s="38">
        <f>IF(AND($B14&lt;U$6,$B14+gen_uitsp_termijn&gt;=U$6),IF($B14+gen_uitsp_termijn&lt;MAX(Afschrijvingen!$C$6:$AB$6),gen_uitsp_termijn,MAX(Afschrijvingen!$C$6:$AB$6)-$B14))</f>
        <v>20</v>
      </c>
      <c r="V14" s="38">
        <f>IF(AND($B14&lt;V$6,$B14+gen_uitsp_termijn&gt;=V$6),IF($B14+gen_uitsp_termijn&lt;MAX(Afschrijvingen!$C$6:$AB$6),gen_uitsp_termijn,MAX(Afschrijvingen!$C$6:$AB$6)-$B14))</f>
        <v>20</v>
      </c>
      <c r="W14" s="38">
        <f>IF(AND($B14&lt;W$6,$B14+gen_uitsp_termijn&gt;=W$6),IF($B14+gen_uitsp_termijn&lt;MAX(Afschrijvingen!$C$6:$AB$6),gen_uitsp_termijn,MAX(Afschrijvingen!$C$6:$AB$6)-$B14))</f>
        <v>20</v>
      </c>
      <c r="X14" s="38">
        <f>IF(AND($B14&lt;X$6,$B14+gen_uitsp_termijn&gt;=X$6),IF($B14+gen_uitsp_termijn&lt;MAX(Afschrijvingen!$C$6:$AB$6),gen_uitsp_termijn,MAX(Afschrijvingen!$C$6:$AB$6)-$B14))</f>
        <v>20</v>
      </c>
      <c r="Y14" s="38">
        <f>IF(AND($B14&lt;Y$6,$B14+gen_uitsp_termijn&gt;=Y$6),IF($B14+gen_uitsp_termijn&lt;MAX(Afschrijvingen!$C$6:$AB$6),gen_uitsp_termijn,MAX(Afschrijvingen!$C$6:$AB$6)-$B14))</f>
        <v>20</v>
      </c>
      <c r="Z14" s="38" t="b">
        <f>IF(AND($B14&lt;Z$6,$B14+gen_uitsp_termijn&gt;=Z$6),IF($B14+gen_uitsp_termijn&lt;MAX(Afschrijvingen!$C$6:$AB$6),gen_uitsp_termijn,MAX(Afschrijvingen!$C$6:$AB$6)-$B14))</f>
        <v>0</v>
      </c>
      <c r="AA14" s="38" t="b">
        <f>IF(AND($B14&lt;AA$6,$B14+gen_uitsp_termijn&gt;=AA$6),IF($B14+gen_uitsp_termijn&lt;MAX(Afschrijvingen!$C$6:$AB$6),gen_uitsp_termijn,MAX(Afschrijvingen!$C$6:$AB$6)-$B14))</f>
        <v>0</v>
      </c>
      <c r="AB14" s="38" t="b">
        <f>IF(AND($B14&lt;AB$6,$B14+gen_uitsp_termijn&gt;=AB$6),IF($B14+gen_uitsp_termijn&lt;MAX(Afschrijvingen!$C$6:$AB$6),gen_uitsp_termijn,MAX(Afschrijvingen!$C$6:$AB$6)-$B14))</f>
        <v>0</v>
      </c>
    </row>
    <row r="15" spans="1:29" x14ac:dyDescent="0.25">
      <c r="A15" s="21" t="s">
        <v>219</v>
      </c>
      <c r="B15" s="21">
        <v>3</v>
      </c>
      <c r="C15" s="38" t="b">
        <f>IF(AND($B15&lt;C$6,$B15+gen_uitsp_termijn&gt;=C$6),IF($B15+gen_uitsp_termijn&lt;MAX(Afschrijvingen!$C$6:$AB$6),gen_uitsp_termijn,MAX(Afschrijvingen!$C$6:$AB$6)-$B15))</f>
        <v>0</v>
      </c>
      <c r="D15" s="38" t="b">
        <f>IF(AND($B15&lt;D$6,$B15+gen_uitsp_termijn&gt;=D$6),IF($B15+gen_uitsp_termijn&lt;MAX(Afschrijvingen!$C$6:$AB$6),gen_uitsp_termijn,MAX(Afschrijvingen!$C$6:$AB$6)-$B15))</f>
        <v>0</v>
      </c>
      <c r="E15" s="38" t="b">
        <f>IF(AND($B15&lt;E$6,$B15+gen_uitsp_termijn&gt;=E$6),IF($B15+gen_uitsp_termijn&lt;MAX(Afschrijvingen!$C$6:$AB$6),gen_uitsp_termijn,MAX(Afschrijvingen!$C$6:$AB$6)-$B15))</f>
        <v>0</v>
      </c>
      <c r="F15" s="38" t="b">
        <f>IF(AND($B15&lt;F$6,$B15+gen_uitsp_termijn&gt;=F$6),IF($B15+gen_uitsp_termijn&lt;MAX(Afschrijvingen!$C$6:$AB$6),gen_uitsp_termijn,MAX(Afschrijvingen!$C$6:$AB$6)-$B15))</f>
        <v>0</v>
      </c>
      <c r="G15" s="38">
        <f>IF(AND($B15&lt;G$6,$B15+gen_uitsp_termijn&gt;=G$6),IF($B15+gen_uitsp_termijn&lt;MAX(Afschrijvingen!$C$6:$AB$6),gen_uitsp_termijn,MAX(Afschrijvingen!$C$6:$AB$6)-$B15))</f>
        <v>20</v>
      </c>
      <c r="H15" s="38">
        <f>IF(AND($B15&lt;H$6,$B15+gen_uitsp_termijn&gt;=H$6),IF($B15+gen_uitsp_termijn&lt;MAX(Afschrijvingen!$C$6:$AB$6),gen_uitsp_termijn,MAX(Afschrijvingen!$C$6:$AB$6)-$B15))</f>
        <v>20</v>
      </c>
      <c r="I15" s="38">
        <f>IF(AND($B15&lt;I$6,$B15+gen_uitsp_termijn&gt;=I$6),IF($B15+gen_uitsp_termijn&lt;MAX(Afschrijvingen!$C$6:$AB$6),gen_uitsp_termijn,MAX(Afschrijvingen!$C$6:$AB$6)-$B15))</f>
        <v>20</v>
      </c>
      <c r="J15" s="38">
        <f>IF(AND($B15&lt;J$6,$B15+gen_uitsp_termijn&gt;=J$6),IF($B15+gen_uitsp_termijn&lt;MAX(Afschrijvingen!$C$6:$AB$6),gen_uitsp_termijn,MAX(Afschrijvingen!$C$6:$AB$6)-$B15))</f>
        <v>20</v>
      </c>
      <c r="K15" s="38">
        <f>IF(AND($B15&lt;K$6,$B15+gen_uitsp_termijn&gt;=K$6),IF($B15+gen_uitsp_termijn&lt;MAX(Afschrijvingen!$C$6:$AB$6),gen_uitsp_termijn,MAX(Afschrijvingen!$C$6:$AB$6)-$B15))</f>
        <v>20</v>
      </c>
      <c r="L15" s="38">
        <f>IF(AND($B15&lt;L$6,$B15+gen_uitsp_termijn&gt;=L$6),IF($B15+gen_uitsp_termijn&lt;MAX(Afschrijvingen!$C$6:$AB$6),gen_uitsp_termijn,MAX(Afschrijvingen!$C$6:$AB$6)-$B15))</f>
        <v>20</v>
      </c>
      <c r="M15" s="38">
        <f>IF(AND($B15&lt;M$6,$B15+gen_uitsp_termijn&gt;=M$6),IF($B15+gen_uitsp_termijn&lt;MAX(Afschrijvingen!$C$6:$AB$6),gen_uitsp_termijn,MAX(Afschrijvingen!$C$6:$AB$6)-$B15))</f>
        <v>20</v>
      </c>
      <c r="N15" s="38">
        <f>IF(AND($B15&lt;N$6,$B15+gen_uitsp_termijn&gt;=N$6),IF($B15+gen_uitsp_termijn&lt;MAX(Afschrijvingen!$C$6:$AB$6),gen_uitsp_termijn,MAX(Afschrijvingen!$C$6:$AB$6)-$B15))</f>
        <v>20</v>
      </c>
      <c r="O15" s="38">
        <f>IF(AND($B15&lt;O$6,$B15+gen_uitsp_termijn&gt;=O$6),IF($B15+gen_uitsp_termijn&lt;MAX(Afschrijvingen!$C$6:$AB$6),gen_uitsp_termijn,MAX(Afschrijvingen!$C$6:$AB$6)-$B15))</f>
        <v>20</v>
      </c>
      <c r="P15" s="38">
        <f>IF(AND($B15&lt;P$6,$B15+gen_uitsp_termijn&gt;=P$6),IF($B15+gen_uitsp_termijn&lt;MAX(Afschrijvingen!$C$6:$AB$6),gen_uitsp_termijn,MAX(Afschrijvingen!$C$6:$AB$6)-$B15))</f>
        <v>20</v>
      </c>
      <c r="Q15" s="38">
        <f>IF(AND($B15&lt;Q$6,$B15+gen_uitsp_termijn&gt;=Q$6),IF($B15+gen_uitsp_termijn&lt;MAX(Afschrijvingen!$C$6:$AB$6),gen_uitsp_termijn,MAX(Afschrijvingen!$C$6:$AB$6)-$B15))</f>
        <v>20</v>
      </c>
      <c r="R15" s="38">
        <f>IF(AND($B15&lt;R$6,$B15+gen_uitsp_termijn&gt;=R$6),IF($B15+gen_uitsp_termijn&lt;MAX(Afschrijvingen!$C$6:$AB$6),gen_uitsp_termijn,MAX(Afschrijvingen!$C$6:$AB$6)-$B15))</f>
        <v>20</v>
      </c>
      <c r="S15" s="38">
        <f>IF(AND($B15&lt;S$6,$B15+gen_uitsp_termijn&gt;=S$6),IF($B15+gen_uitsp_termijn&lt;MAX(Afschrijvingen!$C$6:$AB$6),gen_uitsp_termijn,MAX(Afschrijvingen!$C$6:$AB$6)-$B15))</f>
        <v>20</v>
      </c>
      <c r="T15" s="38">
        <f>IF(AND($B15&lt;T$6,$B15+gen_uitsp_termijn&gt;=T$6),IF($B15+gen_uitsp_termijn&lt;MAX(Afschrijvingen!$C$6:$AB$6),gen_uitsp_termijn,MAX(Afschrijvingen!$C$6:$AB$6)-$B15))</f>
        <v>20</v>
      </c>
      <c r="U15" s="38">
        <f>IF(AND($B15&lt;U$6,$B15+gen_uitsp_termijn&gt;=U$6),IF($B15+gen_uitsp_termijn&lt;MAX(Afschrijvingen!$C$6:$AB$6),gen_uitsp_termijn,MAX(Afschrijvingen!$C$6:$AB$6)-$B15))</f>
        <v>20</v>
      </c>
      <c r="V15" s="38">
        <f>IF(AND($B15&lt;V$6,$B15+gen_uitsp_termijn&gt;=V$6),IF($B15+gen_uitsp_termijn&lt;MAX(Afschrijvingen!$C$6:$AB$6),gen_uitsp_termijn,MAX(Afschrijvingen!$C$6:$AB$6)-$B15))</f>
        <v>20</v>
      </c>
      <c r="W15" s="38">
        <f>IF(AND($B15&lt;W$6,$B15+gen_uitsp_termijn&gt;=W$6),IF($B15+gen_uitsp_termijn&lt;MAX(Afschrijvingen!$C$6:$AB$6),gen_uitsp_termijn,MAX(Afschrijvingen!$C$6:$AB$6)-$B15))</f>
        <v>20</v>
      </c>
      <c r="X15" s="38">
        <f>IF(AND($B15&lt;X$6,$B15+gen_uitsp_termijn&gt;=X$6),IF($B15+gen_uitsp_termijn&lt;MAX(Afschrijvingen!$C$6:$AB$6),gen_uitsp_termijn,MAX(Afschrijvingen!$C$6:$AB$6)-$B15))</f>
        <v>20</v>
      </c>
      <c r="Y15" s="38">
        <f>IF(AND($B15&lt;Y$6,$B15+gen_uitsp_termijn&gt;=Y$6),IF($B15+gen_uitsp_termijn&lt;MAX(Afschrijvingen!$C$6:$AB$6),gen_uitsp_termijn,MAX(Afschrijvingen!$C$6:$AB$6)-$B15))</f>
        <v>20</v>
      </c>
      <c r="Z15" s="38">
        <f>IF(AND($B15&lt;Z$6,$B15+gen_uitsp_termijn&gt;=Z$6),IF($B15+gen_uitsp_termijn&lt;MAX(Afschrijvingen!$C$6:$AB$6),gen_uitsp_termijn,MAX(Afschrijvingen!$C$6:$AB$6)-$B15))</f>
        <v>20</v>
      </c>
      <c r="AA15" s="38" t="b">
        <f>IF(AND($B15&lt;AA$6,$B15+gen_uitsp_termijn&gt;=AA$6),IF($B15+gen_uitsp_termijn&lt;MAX(Afschrijvingen!$C$6:$AB$6),gen_uitsp_termijn,MAX(Afschrijvingen!$C$6:$AB$6)-$B15))</f>
        <v>0</v>
      </c>
      <c r="AB15" s="38" t="b">
        <f>IF(AND($B15&lt;AB$6,$B15+gen_uitsp_termijn&gt;=AB$6),IF($B15+gen_uitsp_termijn&lt;MAX(Afschrijvingen!$C$6:$AB$6),gen_uitsp_termijn,MAX(Afschrijvingen!$C$6:$AB$6)-$B15))</f>
        <v>0</v>
      </c>
    </row>
    <row r="16" spans="1:29" x14ac:dyDescent="0.25">
      <c r="A16" s="21" t="s">
        <v>220</v>
      </c>
      <c r="B16" s="21">
        <v>4</v>
      </c>
      <c r="C16" s="38" t="b">
        <f>IF(AND($B16&lt;C$6,$B16+gen_uitsp_termijn&gt;=C$6),IF($B16+gen_uitsp_termijn&lt;MAX(Afschrijvingen!$C$6:$AB$6),gen_uitsp_termijn,MAX(Afschrijvingen!$C$6:$AB$6)-$B16))</f>
        <v>0</v>
      </c>
      <c r="D16" s="38" t="b">
        <f>IF(AND($B16&lt;D$6,$B16+gen_uitsp_termijn&gt;=D$6),IF($B16+gen_uitsp_termijn&lt;MAX(Afschrijvingen!$C$6:$AB$6),gen_uitsp_termijn,MAX(Afschrijvingen!$C$6:$AB$6)-$B16))</f>
        <v>0</v>
      </c>
      <c r="E16" s="38" t="b">
        <f>IF(AND($B16&lt;E$6,$B16+gen_uitsp_termijn&gt;=E$6),IF($B16+gen_uitsp_termijn&lt;MAX(Afschrijvingen!$C$6:$AB$6),gen_uitsp_termijn,MAX(Afschrijvingen!$C$6:$AB$6)-$B16))</f>
        <v>0</v>
      </c>
      <c r="F16" s="38" t="b">
        <f>IF(AND($B16&lt;F$6,$B16+gen_uitsp_termijn&gt;=F$6),IF($B16+gen_uitsp_termijn&lt;MAX(Afschrijvingen!$C$6:$AB$6),gen_uitsp_termijn,MAX(Afschrijvingen!$C$6:$AB$6)-$B16))</f>
        <v>0</v>
      </c>
      <c r="G16" s="38" t="b">
        <f>IF(AND($B16&lt;G$6,$B16+gen_uitsp_termijn&gt;=G$6),IF($B16+gen_uitsp_termijn&lt;MAX(Afschrijvingen!$C$6:$AB$6),gen_uitsp_termijn,MAX(Afschrijvingen!$C$6:$AB$6)-$B16))</f>
        <v>0</v>
      </c>
      <c r="H16" s="38">
        <f>IF(AND($B16&lt;H$6,$B16+gen_uitsp_termijn&gt;=H$6),IF($B16+gen_uitsp_termijn&lt;MAX(Afschrijvingen!$C$6:$AB$6),gen_uitsp_termijn,MAX(Afschrijvingen!$C$6:$AB$6)-$B16))</f>
        <v>20</v>
      </c>
      <c r="I16" s="38">
        <f>IF(AND($B16&lt;I$6,$B16+gen_uitsp_termijn&gt;=I$6),IF($B16+gen_uitsp_termijn&lt;MAX(Afschrijvingen!$C$6:$AB$6),gen_uitsp_termijn,MAX(Afschrijvingen!$C$6:$AB$6)-$B16))</f>
        <v>20</v>
      </c>
      <c r="J16" s="38">
        <f>IF(AND($B16&lt;J$6,$B16+gen_uitsp_termijn&gt;=J$6),IF($B16+gen_uitsp_termijn&lt;MAX(Afschrijvingen!$C$6:$AB$6),gen_uitsp_termijn,MAX(Afschrijvingen!$C$6:$AB$6)-$B16))</f>
        <v>20</v>
      </c>
      <c r="K16" s="38">
        <f>IF(AND($B16&lt;K$6,$B16+gen_uitsp_termijn&gt;=K$6),IF($B16+gen_uitsp_termijn&lt;MAX(Afschrijvingen!$C$6:$AB$6),gen_uitsp_termijn,MAX(Afschrijvingen!$C$6:$AB$6)-$B16))</f>
        <v>20</v>
      </c>
      <c r="L16" s="38">
        <f>IF(AND($B16&lt;L$6,$B16+gen_uitsp_termijn&gt;=L$6),IF($B16+gen_uitsp_termijn&lt;MAX(Afschrijvingen!$C$6:$AB$6),gen_uitsp_termijn,MAX(Afschrijvingen!$C$6:$AB$6)-$B16))</f>
        <v>20</v>
      </c>
      <c r="M16" s="38">
        <f>IF(AND($B16&lt;M$6,$B16+gen_uitsp_termijn&gt;=M$6),IF($B16+gen_uitsp_termijn&lt;MAX(Afschrijvingen!$C$6:$AB$6),gen_uitsp_termijn,MAX(Afschrijvingen!$C$6:$AB$6)-$B16))</f>
        <v>20</v>
      </c>
      <c r="N16" s="38">
        <f>IF(AND($B16&lt;N$6,$B16+gen_uitsp_termijn&gt;=N$6),IF($B16+gen_uitsp_termijn&lt;MAX(Afschrijvingen!$C$6:$AB$6),gen_uitsp_termijn,MAX(Afschrijvingen!$C$6:$AB$6)-$B16))</f>
        <v>20</v>
      </c>
      <c r="O16" s="38">
        <f>IF(AND($B16&lt;O$6,$B16+gen_uitsp_termijn&gt;=O$6),IF($B16+gen_uitsp_termijn&lt;MAX(Afschrijvingen!$C$6:$AB$6),gen_uitsp_termijn,MAX(Afschrijvingen!$C$6:$AB$6)-$B16))</f>
        <v>20</v>
      </c>
      <c r="P16" s="38">
        <f>IF(AND($B16&lt;P$6,$B16+gen_uitsp_termijn&gt;=P$6),IF($B16+gen_uitsp_termijn&lt;MAX(Afschrijvingen!$C$6:$AB$6),gen_uitsp_termijn,MAX(Afschrijvingen!$C$6:$AB$6)-$B16))</f>
        <v>20</v>
      </c>
      <c r="Q16" s="38">
        <f>IF(AND($B16&lt;Q$6,$B16+gen_uitsp_termijn&gt;=Q$6),IF($B16+gen_uitsp_termijn&lt;MAX(Afschrijvingen!$C$6:$AB$6),gen_uitsp_termijn,MAX(Afschrijvingen!$C$6:$AB$6)-$B16))</f>
        <v>20</v>
      </c>
      <c r="R16" s="38">
        <f>IF(AND($B16&lt;R$6,$B16+gen_uitsp_termijn&gt;=R$6),IF($B16+gen_uitsp_termijn&lt;MAX(Afschrijvingen!$C$6:$AB$6),gen_uitsp_termijn,MAX(Afschrijvingen!$C$6:$AB$6)-$B16))</f>
        <v>20</v>
      </c>
      <c r="S16" s="38">
        <f>IF(AND($B16&lt;S$6,$B16+gen_uitsp_termijn&gt;=S$6),IF($B16+gen_uitsp_termijn&lt;MAX(Afschrijvingen!$C$6:$AB$6),gen_uitsp_termijn,MAX(Afschrijvingen!$C$6:$AB$6)-$B16))</f>
        <v>20</v>
      </c>
      <c r="T16" s="38">
        <f>IF(AND($B16&lt;T$6,$B16+gen_uitsp_termijn&gt;=T$6),IF($B16+gen_uitsp_termijn&lt;MAX(Afschrijvingen!$C$6:$AB$6),gen_uitsp_termijn,MAX(Afschrijvingen!$C$6:$AB$6)-$B16))</f>
        <v>20</v>
      </c>
      <c r="U16" s="38">
        <f>IF(AND($B16&lt;U$6,$B16+gen_uitsp_termijn&gt;=U$6),IF($B16+gen_uitsp_termijn&lt;MAX(Afschrijvingen!$C$6:$AB$6),gen_uitsp_termijn,MAX(Afschrijvingen!$C$6:$AB$6)-$B16))</f>
        <v>20</v>
      </c>
      <c r="V16" s="38">
        <f>IF(AND($B16&lt;V$6,$B16+gen_uitsp_termijn&gt;=V$6),IF($B16+gen_uitsp_termijn&lt;MAX(Afschrijvingen!$C$6:$AB$6),gen_uitsp_termijn,MAX(Afschrijvingen!$C$6:$AB$6)-$B16))</f>
        <v>20</v>
      </c>
      <c r="W16" s="38">
        <f>IF(AND($B16&lt;W$6,$B16+gen_uitsp_termijn&gt;=W$6),IF($B16+gen_uitsp_termijn&lt;MAX(Afschrijvingen!$C$6:$AB$6),gen_uitsp_termijn,MAX(Afschrijvingen!$C$6:$AB$6)-$B16))</f>
        <v>20</v>
      </c>
      <c r="X16" s="38">
        <f>IF(AND($B16&lt;X$6,$B16+gen_uitsp_termijn&gt;=X$6),IF($B16+gen_uitsp_termijn&lt;MAX(Afschrijvingen!$C$6:$AB$6),gen_uitsp_termijn,MAX(Afschrijvingen!$C$6:$AB$6)-$B16))</f>
        <v>20</v>
      </c>
      <c r="Y16" s="38">
        <f>IF(AND($B16&lt;Y$6,$B16+gen_uitsp_termijn&gt;=Y$6),IF($B16+gen_uitsp_termijn&lt;MAX(Afschrijvingen!$C$6:$AB$6),gen_uitsp_termijn,MAX(Afschrijvingen!$C$6:$AB$6)-$B16))</f>
        <v>20</v>
      </c>
      <c r="Z16" s="38">
        <f>IF(AND($B16&lt;Z$6,$B16+gen_uitsp_termijn&gt;=Z$6),IF($B16+gen_uitsp_termijn&lt;MAX(Afschrijvingen!$C$6:$AB$6),gen_uitsp_termijn,MAX(Afschrijvingen!$C$6:$AB$6)-$B16))</f>
        <v>20</v>
      </c>
      <c r="AA16" s="38">
        <f>IF(AND($B16&lt;AA$6,$B16+gen_uitsp_termijn&gt;=AA$6),IF($B16+gen_uitsp_termijn&lt;MAX(Afschrijvingen!$C$6:$AB$6),gen_uitsp_termijn,MAX(Afschrijvingen!$C$6:$AB$6)-$B16))</f>
        <v>20</v>
      </c>
      <c r="AB16" s="38" t="b">
        <f>IF(AND($B16&lt;AB$6,$B16+gen_uitsp_termijn&gt;=AB$6),IF($B16+gen_uitsp_termijn&lt;MAX(Afschrijvingen!$C$6:$AB$6),gen_uitsp_termijn,MAX(Afschrijvingen!$C$6:$AB$6)-$B16))</f>
        <v>0</v>
      </c>
    </row>
    <row r="17" spans="1:28" x14ac:dyDescent="0.25">
      <c r="A17" s="21" t="s">
        <v>221</v>
      </c>
      <c r="B17" s="21">
        <v>5</v>
      </c>
      <c r="C17" s="38" t="b">
        <f>IF(AND($B17&lt;C$6,$B17+gen_uitsp_termijn&gt;=C$6),IF($B17+gen_uitsp_termijn&lt;MAX(Afschrijvingen!$C$6:$AB$6),gen_uitsp_termijn,MAX(Afschrijvingen!$C$6:$AB$6)-$B17))</f>
        <v>0</v>
      </c>
      <c r="D17" s="38" t="b">
        <f>IF(AND($B17&lt;D$6,$B17+gen_uitsp_termijn&gt;=D$6),IF($B17+gen_uitsp_termijn&lt;MAX(Afschrijvingen!$C$6:$AB$6),gen_uitsp_termijn,MAX(Afschrijvingen!$C$6:$AB$6)-$B17))</f>
        <v>0</v>
      </c>
      <c r="E17" s="38" t="b">
        <f>IF(AND($B17&lt;E$6,$B17+gen_uitsp_termijn&gt;=E$6),IF($B17+gen_uitsp_termijn&lt;MAX(Afschrijvingen!$C$6:$AB$6),gen_uitsp_termijn,MAX(Afschrijvingen!$C$6:$AB$6)-$B17))</f>
        <v>0</v>
      </c>
      <c r="F17" s="38" t="b">
        <f>IF(AND($B17&lt;F$6,$B17+gen_uitsp_termijn&gt;=F$6),IF($B17+gen_uitsp_termijn&lt;MAX(Afschrijvingen!$C$6:$AB$6),gen_uitsp_termijn,MAX(Afschrijvingen!$C$6:$AB$6)-$B17))</f>
        <v>0</v>
      </c>
      <c r="G17" s="38" t="b">
        <f>IF(AND($B17&lt;G$6,$B17+gen_uitsp_termijn&gt;=G$6),IF($B17+gen_uitsp_termijn&lt;MAX(Afschrijvingen!$C$6:$AB$6),gen_uitsp_termijn,MAX(Afschrijvingen!$C$6:$AB$6)-$B17))</f>
        <v>0</v>
      </c>
      <c r="H17" s="38" t="b">
        <f>IF(AND($B17&lt;H$6,$B17+gen_uitsp_termijn&gt;=H$6),IF($B17+gen_uitsp_termijn&lt;MAX(Afschrijvingen!$C$6:$AB$6),gen_uitsp_termijn,MAX(Afschrijvingen!$C$6:$AB$6)-$B17))</f>
        <v>0</v>
      </c>
      <c r="I17" s="38">
        <f>IF(AND($B17&lt;I$6,$B17+gen_uitsp_termijn&gt;=I$6),IF($B17+gen_uitsp_termijn&lt;MAX(Afschrijvingen!$C$6:$AB$6),gen_uitsp_termijn,MAX(Afschrijvingen!$C$6:$AB$6)-$B17))</f>
        <v>20</v>
      </c>
      <c r="J17" s="38">
        <f>IF(AND($B17&lt;J$6,$B17+gen_uitsp_termijn&gt;=J$6),IF($B17+gen_uitsp_termijn&lt;MAX(Afschrijvingen!$C$6:$AB$6),gen_uitsp_termijn,MAX(Afschrijvingen!$C$6:$AB$6)-$B17))</f>
        <v>20</v>
      </c>
      <c r="K17" s="38">
        <f>IF(AND($B17&lt;K$6,$B17+gen_uitsp_termijn&gt;=K$6),IF($B17+gen_uitsp_termijn&lt;MAX(Afschrijvingen!$C$6:$AB$6),gen_uitsp_termijn,MAX(Afschrijvingen!$C$6:$AB$6)-$B17))</f>
        <v>20</v>
      </c>
      <c r="L17" s="38">
        <f>IF(AND($B17&lt;L$6,$B17+gen_uitsp_termijn&gt;=L$6),IF($B17+gen_uitsp_termijn&lt;MAX(Afschrijvingen!$C$6:$AB$6),gen_uitsp_termijn,MAX(Afschrijvingen!$C$6:$AB$6)-$B17))</f>
        <v>20</v>
      </c>
      <c r="M17" s="38">
        <f>IF(AND($B17&lt;M$6,$B17+gen_uitsp_termijn&gt;=M$6),IF($B17+gen_uitsp_termijn&lt;MAX(Afschrijvingen!$C$6:$AB$6),gen_uitsp_termijn,MAX(Afschrijvingen!$C$6:$AB$6)-$B17))</f>
        <v>20</v>
      </c>
      <c r="N17" s="38">
        <f>IF(AND($B17&lt;N$6,$B17+gen_uitsp_termijn&gt;=N$6),IF($B17+gen_uitsp_termijn&lt;MAX(Afschrijvingen!$C$6:$AB$6),gen_uitsp_termijn,MAX(Afschrijvingen!$C$6:$AB$6)-$B17))</f>
        <v>20</v>
      </c>
      <c r="O17" s="38">
        <f>IF(AND($B17&lt;O$6,$B17+gen_uitsp_termijn&gt;=O$6),IF($B17+gen_uitsp_termijn&lt;MAX(Afschrijvingen!$C$6:$AB$6),gen_uitsp_termijn,MAX(Afschrijvingen!$C$6:$AB$6)-$B17))</f>
        <v>20</v>
      </c>
      <c r="P17" s="38">
        <f>IF(AND($B17&lt;P$6,$B17+gen_uitsp_termijn&gt;=P$6),IF($B17+gen_uitsp_termijn&lt;MAX(Afschrijvingen!$C$6:$AB$6),gen_uitsp_termijn,MAX(Afschrijvingen!$C$6:$AB$6)-$B17))</f>
        <v>20</v>
      </c>
      <c r="Q17" s="38">
        <f>IF(AND($B17&lt;Q$6,$B17+gen_uitsp_termijn&gt;=Q$6),IF($B17+gen_uitsp_termijn&lt;MAX(Afschrijvingen!$C$6:$AB$6),gen_uitsp_termijn,MAX(Afschrijvingen!$C$6:$AB$6)-$B17))</f>
        <v>20</v>
      </c>
      <c r="R17" s="38">
        <f>IF(AND($B17&lt;R$6,$B17+gen_uitsp_termijn&gt;=R$6),IF($B17+gen_uitsp_termijn&lt;MAX(Afschrijvingen!$C$6:$AB$6),gen_uitsp_termijn,MAX(Afschrijvingen!$C$6:$AB$6)-$B17))</f>
        <v>20</v>
      </c>
      <c r="S17" s="38">
        <f>IF(AND($B17&lt;S$6,$B17+gen_uitsp_termijn&gt;=S$6),IF($B17+gen_uitsp_termijn&lt;MAX(Afschrijvingen!$C$6:$AB$6),gen_uitsp_termijn,MAX(Afschrijvingen!$C$6:$AB$6)-$B17))</f>
        <v>20</v>
      </c>
      <c r="T17" s="38">
        <f>IF(AND($B17&lt;T$6,$B17+gen_uitsp_termijn&gt;=T$6),IF($B17+gen_uitsp_termijn&lt;MAX(Afschrijvingen!$C$6:$AB$6),gen_uitsp_termijn,MAX(Afschrijvingen!$C$6:$AB$6)-$B17))</f>
        <v>20</v>
      </c>
      <c r="U17" s="38">
        <f>IF(AND($B17&lt;U$6,$B17+gen_uitsp_termijn&gt;=U$6),IF($B17+gen_uitsp_termijn&lt;MAX(Afschrijvingen!$C$6:$AB$6),gen_uitsp_termijn,MAX(Afschrijvingen!$C$6:$AB$6)-$B17))</f>
        <v>20</v>
      </c>
      <c r="V17" s="38">
        <f>IF(AND($B17&lt;V$6,$B17+gen_uitsp_termijn&gt;=V$6),IF($B17+gen_uitsp_termijn&lt;MAX(Afschrijvingen!$C$6:$AB$6),gen_uitsp_termijn,MAX(Afschrijvingen!$C$6:$AB$6)-$B17))</f>
        <v>20</v>
      </c>
      <c r="W17" s="38">
        <f>IF(AND($B17&lt;W$6,$B17+gen_uitsp_termijn&gt;=W$6),IF($B17+gen_uitsp_termijn&lt;MAX(Afschrijvingen!$C$6:$AB$6),gen_uitsp_termijn,MAX(Afschrijvingen!$C$6:$AB$6)-$B17))</f>
        <v>20</v>
      </c>
      <c r="X17" s="38">
        <f>IF(AND($B17&lt;X$6,$B17+gen_uitsp_termijn&gt;=X$6),IF($B17+gen_uitsp_termijn&lt;MAX(Afschrijvingen!$C$6:$AB$6),gen_uitsp_termijn,MAX(Afschrijvingen!$C$6:$AB$6)-$B17))</f>
        <v>20</v>
      </c>
      <c r="Y17" s="38">
        <f>IF(AND($B17&lt;Y$6,$B17+gen_uitsp_termijn&gt;=Y$6),IF($B17+gen_uitsp_termijn&lt;MAX(Afschrijvingen!$C$6:$AB$6),gen_uitsp_termijn,MAX(Afschrijvingen!$C$6:$AB$6)-$B17))</f>
        <v>20</v>
      </c>
      <c r="Z17" s="38">
        <f>IF(AND($B17&lt;Z$6,$B17+gen_uitsp_termijn&gt;=Z$6),IF($B17+gen_uitsp_termijn&lt;MAX(Afschrijvingen!$C$6:$AB$6),gen_uitsp_termijn,MAX(Afschrijvingen!$C$6:$AB$6)-$B17))</f>
        <v>20</v>
      </c>
      <c r="AA17" s="38">
        <f>IF(AND($B17&lt;AA$6,$B17+gen_uitsp_termijn&gt;=AA$6),IF($B17+gen_uitsp_termijn&lt;MAX(Afschrijvingen!$C$6:$AB$6),gen_uitsp_termijn,MAX(Afschrijvingen!$C$6:$AB$6)-$B17))</f>
        <v>20</v>
      </c>
      <c r="AB17" s="38">
        <f>IF(AND($B17&lt;AB$6,$B17+gen_uitsp_termijn&gt;=AB$6),IF($B17+gen_uitsp_termijn&lt;MAX(Afschrijvingen!$C$6:$AB$6),gen_uitsp_termijn,MAX(Afschrijvingen!$C$6:$AB$6)-$B17))</f>
        <v>20</v>
      </c>
    </row>
    <row r="18" spans="1:28" x14ac:dyDescent="0.25">
      <c r="A18" s="21" t="s">
        <v>222</v>
      </c>
      <c r="B18" s="21">
        <v>6</v>
      </c>
      <c r="C18" s="38" t="b">
        <f>IF(AND($B18&lt;C$6,$B18+gen_uitsp_termijn&gt;=C$6),IF($B18+gen_uitsp_termijn&lt;MAX(Afschrijvingen!$C$6:$AB$6),gen_uitsp_termijn,MAX(Afschrijvingen!$C$6:$AB$6)-$B18))</f>
        <v>0</v>
      </c>
      <c r="D18" s="38" t="b">
        <f>IF(AND($B18&lt;D$6,$B18+gen_uitsp_termijn&gt;=D$6),IF($B18+gen_uitsp_termijn&lt;MAX(Afschrijvingen!$C$6:$AB$6),gen_uitsp_termijn,MAX(Afschrijvingen!$C$6:$AB$6)-$B18))</f>
        <v>0</v>
      </c>
      <c r="E18" s="38" t="b">
        <f>IF(AND($B18&lt;E$6,$B18+gen_uitsp_termijn&gt;=E$6),IF($B18+gen_uitsp_termijn&lt;MAX(Afschrijvingen!$C$6:$AB$6),gen_uitsp_termijn,MAX(Afschrijvingen!$C$6:$AB$6)-$B18))</f>
        <v>0</v>
      </c>
      <c r="F18" s="38" t="b">
        <f>IF(AND($B18&lt;F$6,$B18+gen_uitsp_termijn&gt;=F$6),IF($B18+gen_uitsp_termijn&lt;MAX(Afschrijvingen!$C$6:$AB$6),gen_uitsp_termijn,MAX(Afschrijvingen!$C$6:$AB$6)-$B18))</f>
        <v>0</v>
      </c>
      <c r="G18" s="38" t="b">
        <f>IF(AND($B18&lt;G$6,$B18+gen_uitsp_termijn&gt;=G$6),IF($B18+gen_uitsp_termijn&lt;MAX(Afschrijvingen!$C$6:$AB$6),gen_uitsp_termijn,MAX(Afschrijvingen!$C$6:$AB$6)-$B18))</f>
        <v>0</v>
      </c>
      <c r="H18" s="38" t="b">
        <f>IF(AND($B18&lt;H$6,$B18+gen_uitsp_termijn&gt;=H$6),IF($B18+gen_uitsp_termijn&lt;MAX(Afschrijvingen!$C$6:$AB$6),gen_uitsp_termijn,MAX(Afschrijvingen!$C$6:$AB$6)-$B18))</f>
        <v>0</v>
      </c>
      <c r="I18" s="38" t="b">
        <f>IF(AND($B18&lt;I$6,$B18+gen_uitsp_termijn&gt;=I$6),IF($B18+gen_uitsp_termijn&lt;MAX(Afschrijvingen!$C$6:$AB$6),gen_uitsp_termijn,MAX(Afschrijvingen!$C$6:$AB$6)-$B18))</f>
        <v>0</v>
      </c>
      <c r="J18" s="38">
        <f>IF(AND($B18&lt;J$6,$B18+gen_uitsp_termijn&gt;=J$6),IF($B18+gen_uitsp_termijn&lt;MAX(Afschrijvingen!$C$6:$AB$6),gen_uitsp_termijn,MAX(Afschrijvingen!$C$6:$AB$6)-$B18))</f>
        <v>19</v>
      </c>
      <c r="K18" s="38">
        <f>IF(AND($B18&lt;K$6,$B18+gen_uitsp_termijn&gt;=K$6),IF($B18+gen_uitsp_termijn&lt;MAX(Afschrijvingen!$C$6:$AB$6),gen_uitsp_termijn,MAX(Afschrijvingen!$C$6:$AB$6)-$B18))</f>
        <v>19</v>
      </c>
      <c r="L18" s="38">
        <f>IF(AND($B18&lt;L$6,$B18+gen_uitsp_termijn&gt;=L$6),IF($B18+gen_uitsp_termijn&lt;MAX(Afschrijvingen!$C$6:$AB$6),gen_uitsp_termijn,MAX(Afschrijvingen!$C$6:$AB$6)-$B18))</f>
        <v>19</v>
      </c>
      <c r="M18" s="38">
        <f>IF(AND($B18&lt;M$6,$B18+gen_uitsp_termijn&gt;=M$6),IF($B18+gen_uitsp_termijn&lt;MAX(Afschrijvingen!$C$6:$AB$6),gen_uitsp_termijn,MAX(Afschrijvingen!$C$6:$AB$6)-$B18))</f>
        <v>19</v>
      </c>
      <c r="N18" s="38">
        <f>IF(AND($B18&lt;N$6,$B18+gen_uitsp_termijn&gt;=N$6),IF($B18+gen_uitsp_termijn&lt;MAX(Afschrijvingen!$C$6:$AB$6),gen_uitsp_termijn,MAX(Afschrijvingen!$C$6:$AB$6)-$B18))</f>
        <v>19</v>
      </c>
      <c r="O18" s="38">
        <f>IF(AND($B18&lt;O$6,$B18+gen_uitsp_termijn&gt;=O$6),IF($B18+gen_uitsp_termijn&lt;MAX(Afschrijvingen!$C$6:$AB$6),gen_uitsp_termijn,MAX(Afschrijvingen!$C$6:$AB$6)-$B18))</f>
        <v>19</v>
      </c>
      <c r="P18" s="38">
        <f>IF(AND($B18&lt;P$6,$B18+gen_uitsp_termijn&gt;=P$6),IF($B18+gen_uitsp_termijn&lt;MAX(Afschrijvingen!$C$6:$AB$6),gen_uitsp_termijn,MAX(Afschrijvingen!$C$6:$AB$6)-$B18))</f>
        <v>19</v>
      </c>
      <c r="Q18" s="38">
        <f>IF(AND($B18&lt;Q$6,$B18+gen_uitsp_termijn&gt;=Q$6),IF($B18+gen_uitsp_termijn&lt;MAX(Afschrijvingen!$C$6:$AB$6),gen_uitsp_termijn,MAX(Afschrijvingen!$C$6:$AB$6)-$B18))</f>
        <v>19</v>
      </c>
      <c r="R18" s="38">
        <f>IF(AND($B18&lt;R$6,$B18+gen_uitsp_termijn&gt;=R$6),IF($B18+gen_uitsp_termijn&lt;MAX(Afschrijvingen!$C$6:$AB$6),gen_uitsp_termijn,MAX(Afschrijvingen!$C$6:$AB$6)-$B18))</f>
        <v>19</v>
      </c>
      <c r="S18" s="38">
        <f>IF(AND($B18&lt;S$6,$B18+gen_uitsp_termijn&gt;=S$6),IF($B18+gen_uitsp_termijn&lt;MAX(Afschrijvingen!$C$6:$AB$6),gen_uitsp_termijn,MAX(Afschrijvingen!$C$6:$AB$6)-$B18))</f>
        <v>19</v>
      </c>
      <c r="T18" s="38">
        <f>IF(AND($B18&lt;T$6,$B18+gen_uitsp_termijn&gt;=T$6),IF($B18+gen_uitsp_termijn&lt;MAX(Afschrijvingen!$C$6:$AB$6),gen_uitsp_termijn,MAX(Afschrijvingen!$C$6:$AB$6)-$B18))</f>
        <v>19</v>
      </c>
      <c r="U18" s="38">
        <f>IF(AND($B18&lt;U$6,$B18+gen_uitsp_termijn&gt;=U$6),IF($B18+gen_uitsp_termijn&lt;MAX(Afschrijvingen!$C$6:$AB$6),gen_uitsp_termijn,MAX(Afschrijvingen!$C$6:$AB$6)-$B18))</f>
        <v>19</v>
      </c>
      <c r="V18" s="38">
        <f>IF(AND($B18&lt;V$6,$B18+gen_uitsp_termijn&gt;=V$6),IF($B18+gen_uitsp_termijn&lt;MAX(Afschrijvingen!$C$6:$AB$6),gen_uitsp_termijn,MAX(Afschrijvingen!$C$6:$AB$6)-$B18))</f>
        <v>19</v>
      </c>
      <c r="W18" s="38">
        <f>IF(AND($B18&lt;W$6,$B18+gen_uitsp_termijn&gt;=W$6),IF($B18+gen_uitsp_termijn&lt;MAX(Afschrijvingen!$C$6:$AB$6),gen_uitsp_termijn,MAX(Afschrijvingen!$C$6:$AB$6)-$B18))</f>
        <v>19</v>
      </c>
      <c r="X18" s="38">
        <f>IF(AND($B18&lt;X$6,$B18+gen_uitsp_termijn&gt;=X$6),IF($B18+gen_uitsp_termijn&lt;MAX(Afschrijvingen!$C$6:$AB$6),gen_uitsp_termijn,MAX(Afschrijvingen!$C$6:$AB$6)-$B18))</f>
        <v>19</v>
      </c>
      <c r="Y18" s="38">
        <f>IF(AND($B18&lt;Y$6,$B18+gen_uitsp_termijn&gt;=Y$6),IF($B18+gen_uitsp_termijn&lt;MAX(Afschrijvingen!$C$6:$AB$6),gen_uitsp_termijn,MAX(Afschrijvingen!$C$6:$AB$6)-$B18))</f>
        <v>19</v>
      </c>
      <c r="Z18" s="38">
        <f>IF(AND($B18&lt;Z$6,$B18+gen_uitsp_termijn&gt;=Z$6),IF($B18+gen_uitsp_termijn&lt;MAX(Afschrijvingen!$C$6:$AB$6),gen_uitsp_termijn,MAX(Afschrijvingen!$C$6:$AB$6)-$B18))</f>
        <v>19</v>
      </c>
      <c r="AA18" s="38">
        <f>IF(AND($B18&lt;AA$6,$B18+gen_uitsp_termijn&gt;=AA$6),IF($B18+gen_uitsp_termijn&lt;MAX(Afschrijvingen!$C$6:$AB$6),gen_uitsp_termijn,MAX(Afschrijvingen!$C$6:$AB$6)-$B18))</f>
        <v>19</v>
      </c>
      <c r="AB18" s="38">
        <f>IF(AND($B18&lt;AB$6,$B18+gen_uitsp_termijn&gt;=AB$6),IF($B18+gen_uitsp_termijn&lt;MAX(Afschrijvingen!$C$6:$AB$6),gen_uitsp_termijn,MAX(Afschrijvingen!$C$6:$AB$6)-$B18))</f>
        <v>19</v>
      </c>
    </row>
    <row r="19" spans="1:28" x14ac:dyDescent="0.25">
      <c r="A19" s="21" t="s">
        <v>223</v>
      </c>
      <c r="B19" s="21">
        <v>7</v>
      </c>
      <c r="C19" s="38" t="b">
        <f>IF(AND($B19&lt;C$6,$B19+gen_uitsp_termijn&gt;=C$6),IF($B19+gen_uitsp_termijn&lt;MAX(Afschrijvingen!$C$6:$AB$6),gen_uitsp_termijn,MAX(Afschrijvingen!$C$6:$AB$6)-$B19))</f>
        <v>0</v>
      </c>
      <c r="D19" s="38" t="b">
        <f>IF(AND($B19&lt;D$6,$B19+gen_uitsp_termijn&gt;=D$6),IF($B19+gen_uitsp_termijn&lt;MAX(Afschrijvingen!$C$6:$AB$6),gen_uitsp_termijn,MAX(Afschrijvingen!$C$6:$AB$6)-$B19))</f>
        <v>0</v>
      </c>
      <c r="E19" s="38" t="b">
        <f>IF(AND($B19&lt;E$6,$B19+gen_uitsp_termijn&gt;=E$6),IF($B19+gen_uitsp_termijn&lt;MAX(Afschrijvingen!$C$6:$AB$6),gen_uitsp_termijn,MAX(Afschrijvingen!$C$6:$AB$6)-$B19))</f>
        <v>0</v>
      </c>
      <c r="F19" s="38" t="b">
        <f>IF(AND($B19&lt;F$6,$B19+gen_uitsp_termijn&gt;=F$6),IF($B19+gen_uitsp_termijn&lt;MAX(Afschrijvingen!$C$6:$AB$6),gen_uitsp_termijn,MAX(Afschrijvingen!$C$6:$AB$6)-$B19))</f>
        <v>0</v>
      </c>
      <c r="G19" s="38" t="b">
        <f>IF(AND($B19&lt;G$6,$B19+gen_uitsp_termijn&gt;=G$6),IF($B19+gen_uitsp_termijn&lt;MAX(Afschrijvingen!$C$6:$AB$6),gen_uitsp_termijn,MAX(Afschrijvingen!$C$6:$AB$6)-$B19))</f>
        <v>0</v>
      </c>
      <c r="H19" s="38" t="b">
        <f>IF(AND($B19&lt;H$6,$B19+gen_uitsp_termijn&gt;=H$6),IF($B19+gen_uitsp_termijn&lt;MAX(Afschrijvingen!$C$6:$AB$6),gen_uitsp_termijn,MAX(Afschrijvingen!$C$6:$AB$6)-$B19))</f>
        <v>0</v>
      </c>
      <c r="I19" s="38" t="b">
        <f>IF(AND($B19&lt;I$6,$B19+gen_uitsp_termijn&gt;=I$6),IF($B19+gen_uitsp_termijn&lt;MAX(Afschrijvingen!$C$6:$AB$6),gen_uitsp_termijn,MAX(Afschrijvingen!$C$6:$AB$6)-$B19))</f>
        <v>0</v>
      </c>
      <c r="J19" s="38" t="b">
        <f>IF(AND($B19&lt;J$6,$B19+gen_uitsp_termijn&gt;=J$6),IF($B19+gen_uitsp_termijn&lt;MAX(Afschrijvingen!$C$6:$AB$6),gen_uitsp_termijn,MAX(Afschrijvingen!$C$6:$AB$6)-$B19))</f>
        <v>0</v>
      </c>
      <c r="K19" s="38">
        <f>IF(AND($B19&lt;K$6,$B19+gen_uitsp_termijn&gt;=K$6),IF($B19+gen_uitsp_termijn&lt;MAX(Afschrijvingen!$C$6:$AB$6),gen_uitsp_termijn,MAX(Afschrijvingen!$C$6:$AB$6)-$B19))</f>
        <v>18</v>
      </c>
      <c r="L19" s="38">
        <f>IF(AND($B19&lt;L$6,$B19+gen_uitsp_termijn&gt;=L$6),IF($B19+gen_uitsp_termijn&lt;MAX(Afschrijvingen!$C$6:$AB$6),gen_uitsp_termijn,MAX(Afschrijvingen!$C$6:$AB$6)-$B19))</f>
        <v>18</v>
      </c>
      <c r="M19" s="38">
        <f>IF(AND($B19&lt;M$6,$B19+gen_uitsp_termijn&gt;=M$6),IF($B19+gen_uitsp_termijn&lt;MAX(Afschrijvingen!$C$6:$AB$6),gen_uitsp_termijn,MAX(Afschrijvingen!$C$6:$AB$6)-$B19))</f>
        <v>18</v>
      </c>
      <c r="N19" s="38">
        <f>IF(AND($B19&lt;N$6,$B19+gen_uitsp_termijn&gt;=N$6),IF($B19+gen_uitsp_termijn&lt;MAX(Afschrijvingen!$C$6:$AB$6),gen_uitsp_termijn,MAX(Afschrijvingen!$C$6:$AB$6)-$B19))</f>
        <v>18</v>
      </c>
      <c r="O19" s="38">
        <f>IF(AND($B19&lt;O$6,$B19+gen_uitsp_termijn&gt;=O$6),IF($B19+gen_uitsp_termijn&lt;MAX(Afschrijvingen!$C$6:$AB$6),gen_uitsp_termijn,MAX(Afschrijvingen!$C$6:$AB$6)-$B19))</f>
        <v>18</v>
      </c>
      <c r="P19" s="38">
        <f>IF(AND($B19&lt;P$6,$B19+gen_uitsp_termijn&gt;=P$6),IF($B19+gen_uitsp_termijn&lt;MAX(Afschrijvingen!$C$6:$AB$6),gen_uitsp_termijn,MAX(Afschrijvingen!$C$6:$AB$6)-$B19))</f>
        <v>18</v>
      </c>
      <c r="Q19" s="38">
        <f>IF(AND($B19&lt;Q$6,$B19+gen_uitsp_termijn&gt;=Q$6),IF($B19+gen_uitsp_termijn&lt;MAX(Afschrijvingen!$C$6:$AB$6),gen_uitsp_termijn,MAX(Afschrijvingen!$C$6:$AB$6)-$B19))</f>
        <v>18</v>
      </c>
      <c r="R19" s="38">
        <f>IF(AND($B19&lt;R$6,$B19+gen_uitsp_termijn&gt;=R$6),IF($B19+gen_uitsp_termijn&lt;MAX(Afschrijvingen!$C$6:$AB$6),gen_uitsp_termijn,MAX(Afschrijvingen!$C$6:$AB$6)-$B19))</f>
        <v>18</v>
      </c>
      <c r="S19" s="38">
        <f>IF(AND($B19&lt;S$6,$B19+gen_uitsp_termijn&gt;=S$6),IF($B19+gen_uitsp_termijn&lt;MAX(Afschrijvingen!$C$6:$AB$6),gen_uitsp_termijn,MAX(Afschrijvingen!$C$6:$AB$6)-$B19))</f>
        <v>18</v>
      </c>
      <c r="T19" s="38">
        <f>IF(AND($B19&lt;T$6,$B19+gen_uitsp_termijn&gt;=T$6),IF($B19+gen_uitsp_termijn&lt;MAX(Afschrijvingen!$C$6:$AB$6),gen_uitsp_termijn,MAX(Afschrijvingen!$C$6:$AB$6)-$B19))</f>
        <v>18</v>
      </c>
      <c r="U19" s="38">
        <f>IF(AND($B19&lt;U$6,$B19+gen_uitsp_termijn&gt;=U$6),IF($B19+gen_uitsp_termijn&lt;MAX(Afschrijvingen!$C$6:$AB$6),gen_uitsp_termijn,MAX(Afschrijvingen!$C$6:$AB$6)-$B19))</f>
        <v>18</v>
      </c>
      <c r="V19" s="38">
        <f>IF(AND($B19&lt;V$6,$B19+gen_uitsp_termijn&gt;=V$6),IF($B19+gen_uitsp_termijn&lt;MAX(Afschrijvingen!$C$6:$AB$6),gen_uitsp_termijn,MAX(Afschrijvingen!$C$6:$AB$6)-$B19))</f>
        <v>18</v>
      </c>
      <c r="W19" s="38">
        <f>IF(AND($B19&lt;W$6,$B19+gen_uitsp_termijn&gt;=W$6),IF($B19+gen_uitsp_termijn&lt;MAX(Afschrijvingen!$C$6:$AB$6),gen_uitsp_termijn,MAX(Afschrijvingen!$C$6:$AB$6)-$B19))</f>
        <v>18</v>
      </c>
      <c r="X19" s="38">
        <f>IF(AND($B19&lt;X$6,$B19+gen_uitsp_termijn&gt;=X$6),IF($B19+gen_uitsp_termijn&lt;MAX(Afschrijvingen!$C$6:$AB$6),gen_uitsp_termijn,MAX(Afschrijvingen!$C$6:$AB$6)-$B19))</f>
        <v>18</v>
      </c>
      <c r="Y19" s="38">
        <f>IF(AND($B19&lt;Y$6,$B19+gen_uitsp_termijn&gt;=Y$6),IF($B19+gen_uitsp_termijn&lt;MAX(Afschrijvingen!$C$6:$AB$6),gen_uitsp_termijn,MAX(Afschrijvingen!$C$6:$AB$6)-$B19))</f>
        <v>18</v>
      </c>
      <c r="Z19" s="38">
        <f>IF(AND($B19&lt;Z$6,$B19+gen_uitsp_termijn&gt;=Z$6),IF($B19+gen_uitsp_termijn&lt;MAX(Afschrijvingen!$C$6:$AB$6),gen_uitsp_termijn,MAX(Afschrijvingen!$C$6:$AB$6)-$B19))</f>
        <v>18</v>
      </c>
      <c r="AA19" s="38">
        <f>IF(AND($B19&lt;AA$6,$B19+gen_uitsp_termijn&gt;=AA$6),IF($B19+gen_uitsp_termijn&lt;MAX(Afschrijvingen!$C$6:$AB$6),gen_uitsp_termijn,MAX(Afschrijvingen!$C$6:$AB$6)-$B19))</f>
        <v>18</v>
      </c>
      <c r="AB19" s="38">
        <f>IF(AND($B19&lt;AB$6,$B19+gen_uitsp_termijn&gt;=AB$6),IF($B19+gen_uitsp_termijn&lt;MAX(Afschrijvingen!$C$6:$AB$6),gen_uitsp_termijn,MAX(Afschrijvingen!$C$6:$AB$6)-$B19))</f>
        <v>18</v>
      </c>
    </row>
    <row r="20" spans="1:28" x14ac:dyDescent="0.25">
      <c r="A20" s="21" t="s">
        <v>224</v>
      </c>
      <c r="B20" s="21">
        <v>8</v>
      </c>
      <c r="C20" s="38" t="b">
        <f>IF(AND($B20&lt;C$6,$B20+gen_uitsp_termijn&gt;=C$6),IF($B20+gen_uitsp_termijn&lt;MAX(Afschrijvingen!$C$6:$AB$6),gen_uitsp_termijn,MAX(Afschrijvingen!$C$6:$AB$6)-$B20))</f>
        <v>0</v>
      </c>
      <c r="D20" s="38" t="b">
        <f>IF(AND($B20&lt;D$6,$B20+gen_uitsp_termijn&gt;=D$6),IF($B20+gen_uitsp_termijn&lt;MAX(Afschrijvingen!$C$6:$AB$6),gen_uitsp_termijn,MAX(Afschrijvingen!$C$6:$AB$6)-$B20))</f>
        <v>0</v>
      </c>
      <c r="E20" s="38" t="b">
        <f>IF(AND($B20&lt;E$6,$B20+gen_uitsp_termijn&gt;=E$6),IF($B20+gen_uitsp_termijn&lt;MAX(Afschrijvingen!$C$6:$AB$6),gen_uitsp_termijn,MAX(Afschrijvingen!$C$6:$AB$6)-$B20))</f>
        <v>0</v>
      </c>
      <c r="F20" s="38" t="b">
        <f>IF(AND($B20&lt;F$6,$B20+gen_uitsp_termijn&gt;=F$6),IF($B20+gen_uitsp_termijn&lt;MAX(Afschrijvingen!$C$6:$AB$6),gen_uitsp_termijn,MAX(Afschrijvingen!$C$6:$AB$6)-$B20))</f>
        <v>0</v>
      </c>
      <c r="G20" s="38" t="b">
        <f>IF(AND($B20&lt;G$6,$B20+gen_uitsp_termijn&gt;=G$6),IF($B20+gen_uitsp_termijn&lt;MAX(Afschrijvingen!$C$6:$AB$6),gen_uitsp_termijn,MAX(Afschrijvingen!$C$6:$AB$6)-$B20))</f>
        <v>0</v>
      </c>
      <c r="H20" s="38" t="b">
        <f>IF(AND($B20&lt;H$6,$B20+gen_uitsp_termijn&gt;=H$6),IF($B20+gen_uitsp_termijn&lt;MAX(Afschrijvingen!$C$6:$AB$6),gen_uitsp_termijn,MAX(Afschrijvingen!$C$6:$AB$6)-$B20))</f>
        <v>0</v>
      </c>
      <c r="I20" s="38" t="b">
        <f>IF(AND($B20&lt;I$6,$B20+gen_uitsp_termijn&gt;=I$6),IF($B20+gen_uitsp_termijn&lt;MAX(Afschrijvingen!$C$6:$AB$6),gen_uitsp_termijn,MAX(Afschrijvingen!$C$6:$AB$6)-$B20))</f>
        <v>0</v>
      </c>
      <c r="J20" s="38" t="b">
        <f>IF(AND($B20&lt;J$6,$B20+gen_uitsp_termijn&gt;=J$6),IF($B20+gen_uitsp_termijn&lt;MAX(Afschrijvingen!$C$6:$AB$6),gen_uitsp_termijn,MAX(Afschrijvingen!$C$6:$AB$6)-$B20))</f>
        <v>0</v>
      </c>
      <c r="K20" s="38" t="b">
        <f>IF(AND($B20&lt;K$6,$B20+gen_uitsp_termijn&gt;=K$6),IF($B20+gen_uitsp_termijn&lt;MAX(Afschrijvingen!$C$6:$AB$6),gen_uitsp_termijn,MAX(Afschrijvingen!$C$6:$AB$6)-$B20))</f>
        <v>0</v>
      </c>
      <c r="L20" s="38">
        <f>IF(AND($B20&lt;L$6,$B20+gen_uitsp_termijn&gt;=L$6),IF($B20+gen_uitsp_termijn&lt;MAX(Afschrijvingen!$C$6:$AB$6),gen_uitsp_termijn,MAX(Afschrijvingen!$C$6:$AB$6)-$B20))</f>
        <v>17</v>
      </c>
      <c r="M20" s="38">
        <f>IF(AND($B20&lt;M$6,$B20+gen_uitsp_termijn&gt;=M$6),IF($B20+gen_uitsp_termijn&lt;MAX(Afschrijvingen!$C$6:$AB$6),gen_uitsp_termijn,MAX(Afschrijvingen!$C$6:$AB$6)-$B20))</f>
        <v>17</v>
      </c>
      <c r="N20" s="38">
        <f>IF(AND($B20&lt;N$6,$B20+gen_uitsp_termijn&gt;=N$6),IF($B20+gen_uitsp_termijn&lt;MAX(Afschrijvingen!$C$6:$AB$6),gen_uitsp_termijn,MAX(Afschrijvingen!$C$6:$AB$6)-$B20))</f>
        <v>17</v>
      </c>
      <c r="O20" s="38">
        <f>IF(AND($B20&lt;O$6,$B20+gen_uitsp_termijn&gt;=O$6),IF($B20+gen_uitsp_termijn&lt;MAX(Afschrijvingen!$C$6:$AB$6),gen_uitsp_termijn,MAX(Afschrijvingen!$C$6:$AB$6)-$B20))</f>
        <v>17</v>
      </c>
      <c r="P20" s="38">
        <f>IF(AND($B20&lt;P$6,$B20+gen_uitsp_termijn&gt;=P$6),IF($B20+gen_uitsp_termijn&lt;MAX(Afschrijvingen!$C$6:$AB$6),gen_uitsp_termijn,MAX(Afschrijvingen!$C$6:$AB$6)-$B20))</f>
        <v>17</v>
      </c>
      <c r="Q20" s="38">
        <f>IF(AND($B20&lt;Q$6,$B20+gen_uitsp_termijn&gt;=Q$6),IF($B20+gen_uitsp_termijn&lt;MAX(Afschrijvingen!$C$6:$AB$6),gen_uitsp_termijn,MAX(Afschrijvingen!$C$6:$AB$6)-$B20))</f>
        <v>17</v>
      </c>
      <c r="R20" s="38">
        <f>IF(AND($B20&lt;R$6,$B20+gen_uitsp_termijn&gt;=R$6),IF($B20+gen_uitsp_termijn&lt;MAX(Afschrijvingen!$C$6:$AB$6),gen_uitsp_termijn,MAX(Afschrijvingen!$C$6:$AB$6)-$B20))</f>
        <v>17</v>
      </c>
      <c r="S20" s="38">
        <f>IF(AND($B20&lt;S$6,$B20+gen_uitsp_termijn&gt;=S$6),IF($B20+gen_uitsp_termijn&lt;MAX(Afschrijvingen!$C$6:$AB$6),gen_uitsp_termijn,MAX(Afschrijvingen!$C$6:$AB$6)-$B20))</f>
        <v>17</v>
      </c>
      <c r="T20" s="38">
        <f>IF(AND($B20&lt;T$6,$B20+gen_uitsp_termijn&gt;=T$6),IF($B20+gen_uitsp_termijn&lt;MAX(Afschrijvingen!$C$6:$AB$6),gen_uitsp_termijn,MAX(Afschrijvingen!$C$6:$AB$6)-$B20))</f>
        <v>17</v>
      </c>
      <c r="U20" s="38">
        <f>IF(AND($B20&lt;U$6,$B20+gen_uitsp_termijn&gt;=U$6),IF($B20+gen_uitsp_termijn&lt;MAX(Afschrijvingen!$C$6:$AB$6),gen_uitsp_termijn,MAX(Afschrijvingen!$C$6:$AB$6)-$B20))</f>
        <v>17</v>
      </c>
      <c r="V20" s="38">
        <f>IF(AND($B20&lt;V$6,$B20+gen_uitsp_termijn&gt;=V$6),IF($B20+gen_uitsp_termijn&lt;MAX(Afschrijvingen!$C$6:$AB$6),gen_uitsp_termijn,MAX(Afschrijvingen!$C$6:$AB$6)-$B20))</f>
        <v>17</v>
      </c>
      <c r="W20" s="38">
        <f>IF(AND($B20&lt;W$6,$B20+gen_uitsp_termijn&gt;=W$6),IF($B20+gen_uitsp_termijn&lt;MAX(Afschrijvingen!$C$6:$AB$6),gen_uitsp_termijn,MAX(Afschrijvingen!$C$6:$AB$6)-$B20))</f>
        <v>17</v>
      </c>
      <c r="X20" s="38">
        <f>IF(AND($B20&lt;X$6,$B20+gen_uitsp_termijn&gt;=X$6),IF($B20+gen_uitsp_termijn&lt;MAX(Afschrijvingen!$C$6:$AB$6),gen_uitsp_termijn,MAX(Afschrijvingen!$C$6:$AB$6)-$B20))</f>
        <v>17</v>
      </c>
      <c r="Y20" s="38">
        <f>IF(AND($B20&lt;Y$6,$B20+gen_uitsp_termijn&gt;=Y$6),IF($B20+gen_uitsp_termijn&lt;MAX(Afschrijvingen!$C$6:$AB$6),gen_uitsp_termijn,MAX(Afschrijvingen!$C$6:$AB$6)-$B20))</f>
        <v>17</v>
      </c>
      <c r="Z20" s="38">
        <f>IF(AND($B20&lt;Z$6,$B20+gen_uitsp_termijn&gt;=Z$6),IF($B20+gen_uitsp_termijn&lt;MAX(Afschrijvingen!$C$6:$AB$6),gen_uitsp_termijn,MAX(Afschrijvingen!$C$6:$AB$6)-$B20))</f>
        <v>17</v>
      </c>
      <c r="AA20" s="38">
        <f>IF(AND($B20&lt;AA$6,$B20+gen_uitsp_termijn&gt;=AA$6),IF($B20+gen_uitsp_termijn&lt;MAX(Afschrijvingen!$C$6:$AB$6),gen_uitsp_termijn,MAX(Afschrijvingen!$C$6:$AB$6)-$B20))</f>
        <v>17</v>
      </c>
      <c r="AB20" s="38">
        <f>IF(AND($B20&lt;AB$6,$B20+gen_uitsp_termijn&gt;=AB$6),IF($B20+gen_uitsp_termijn&lt;MAX(Afschrijvingen!$C$6:$AB$6),gen_uitsp_termijn,MAX(Afschrijvingen!$C$6:$AB$6)-$B20))</f>
        <v>17</v>
      </c>
    </row>
    <row r="21" spans="1:28" x14ac:dyDescent="0.25">
      <c r="A21" s="21" t="s">
        <v>225</v>
      </c>
      <c r="B21" s="21">
        <v>9</v>
      </c>
      <c r="C21" s="38" t="b">
        <f>IF(AND($B21&lt;C$6,$B21+gen_uitsp_termijn&gt;=C$6),IF($B21+gen_uitsp_termijn&lt;MAX(Afschrijvingen!$C$6:$AB$6),gen_uitsp_termijn,MAX(Afschrijvingen!$C$6:$AB$6)-$B21))</f>
        <v>0</v>
      </c>
      <c r="D21" s="38" t="b">
        <f>IF(AND($B21&lt;D$6,$B21+gen_uitsp_termijn&gt;=D$6),IF($B21+gen_uitsp_termijn&lt;MAX(Afschrijvingen!$C$6:$AB$6),gen_uitsp_termijn,MAX(Afschrijvingen!$C$6:$AB$6)-$B21))</f>
        <v>0</v>
      </c>
      <c r="E21" s="38" t="b">
        <f>IF(AND($B21&lt;E$6,$B21+gen_uitsp_termijn&gt;=E$6),IF($B21+gen_uitsp_termijn&lt;MAX(Afschrijvingen!$C$6:$AB$6),gen_uitsp_termijn,MAX(Afschrijvingen!$C$6:$AB$6)-$B21))</f>
        <v>0</v>
      </c>
      <c r="F21" s="38" t="b">
        <f>IF(AND($B21&lt;F$6,$B21+gen_uitsp_termijn&gt;=F$6),IF($B21+gen_uitsp_termijn&lt;MAX(Afschrijvingen!$C$6:$AB$6),gen_uitsp_termijn,MAX(Afschrijvingen!$C$6:$AB$6)-$B21))</f>
        <v>0</v>
      </c>
      <c r="G21" s="38" t="b">
        <f>IF(AND($B21&lt;G$6,$B21+gen_uitsp_termijn&gt;=G$6),IF($B21+gen_uitsp_termijn&lt;MAX(Afschrijvingen!$C$6:$AB$6),gen_uitsp_termijn,MAX(Afschrijvingen!$C$6:$AB$6)-$B21))</f>
        <v>0</v>
      </c>
      <c r="H21" s="38" t="b">
        <f>IF(AND($B21&lt;H$6,$B21+gen_uitsp_termijn&gt;=H$6),IF($B21+gen_uitsp_termijn&lt;MAX(Afschrijvingen!$C$6:$AB$6),gen_uitsp_termijn,MAX(Afschrijvingen!$C$6:$AB$6)-$B21))</f>
        <v>0</v>
      </c>
      <c r="I21" s="38" t="b">
        <f>IF(AND($B21&lt;I$6,$B21+gen_uitsp_termijn&gt;=I$6),IF($B21+gen_uitsp_termijn&lt;MAX(Afschrijvingen!$C$6:$AB$6),gen_uitsp_termijn,MAX(Afschrijvingen!$C$6:$AB$6)-$B21))</f>
        <v>0</v>
      </c>
      <c r="J21" s="38" t="b">
        <f>IF(AND($B21&lt;J$6,$B21+gen_uitsp_termijn&gt;=J$6),IF($B21+gen_uitsp_termijn&lt;MAX(Afschrijvingen!$C$6:$AB$6),gen_uitsp_termijn,MAX(Afschrijvingen!$C$6:$AB$6)-$B21))</f>
        <v>0</v>
      </c>
      <c r="K21" s="38" t="b">
        <f>IF(AND($B21&lt;K$6,$B21+gen_uitsp_termijn&gt;=K$6),IF($B21+gen_uitsp_termijn&lt;MAX(Afschrijvingen!$C$6:$AB$6),gen_uitsp_termijn,MAX(Afschrijvingen!$C$6:$AB$6)-$B21))</f>
        <v>0</v>
      </c>
      <c r="L21" s="38" t="b">
        <f>IF(AND($B21&lt;L$6,$B21+gen_uitsp_termijn&gt;=L$6),IF($B21+gen_uitsp_termijn&lt;MAX(Afschrijvingen!$C$6:$AB$6),gen_uitsp_termijn,MAX(Afschrijvingen!$C$6:$AB$6)-$B21))</f>
        <v>0</v>
      </c>
      <c r="M21" s="38">
        <f>IF(AND($B21&lt;M$6,$B21+gen_uitsp_termijn&gt;=M$6),IF($B21+gen_uitsp_termijn&lt;MAX(Afschrijvingen!$C$6:$AB$6),gen_uitsp_termijn,MAX(Afschrijvingen!$C$6:$AB$6)-$B21))</f>
        <v>16</v>
      </c>
      <c r="N21" s="38">
        <f>IF(AND($B21&lt;N$6,$B21+gen_uitsp_termijn&gt;=N$6),IF($B21+gen_uitsp_termijn&lt;MAX(Afschrijvingen!$C$6:$AB$6),gen_uitsp_termijn,MAX(Afschrijvingen!$C$6:$AB$6)-$B21))</f>
        <v>16</v>
      </c>
      <c r="O21" s="38">
        <f>IF(AND($B21&lt;O$6,$B21+gen_uitsp_termijn&gt;=O$6),IF($B21+gen_uitsp_termijn&lt;MAX(Afschrijvingen!$C$6:$AB$6),gen_uitsp_termijn,MAX(Afschrijvingen!$C$6:$AB$6)-$B21))</f>
        <v>16</v>
      </c>
      <c r="P21" s="38">
        <f>IF(AND($B21&lt;P$6,$B21+gen_uitsp_termijn&gt;=P$6),IF($B21+gen_uitsp_termijn&lt;MAX(Afschrijvingen!$C$6:$AB$6),gen_uitsp_termijn,MAX(Afschrijvingen!$C$6:$AB$6)-$B21))</f>
        <v>16</v>
      </c>
      <c r="Q21" s="38">
        <f>IF(AND($B21&lt;Q$6,$B21+gen_uitsp_termijn&gt;=Q$6),IF($B21+gen_uitsp_termijn&lt;MAX(Afschrijvingen!$C$6:$AB$6),gen_uitsp_termijn,MAX(Afschrijvingen!$C$6:$AB$6)-$B21))</f>
        <v>16</v>
      </c>
      <c r="R21" s="38">
        <f>IF(AND($B21&lt;R$6,$B21+gen_uitsp_termijn&gt;=R$6),IF($B21+gen_uitsp_termijn&lt;MAX(Afschrijvingen!$C$6:$AB$6),gen_uitsp_termijn,MAX(Afschrijvingen!$C$6:$AB$6)-$B21))</f>
        <v>16</v>
      </c>
      <c r="S21" s="38">
        <f>IF(AND($B21&lt;S$6,$B21+gen_uitsp_termijn&gt;=S$6),IF($B21+gen_uitsp_termijn&lt;MAX(Afschrijvingen!$C$6:$AB$6),gen_uitsp_termijn,MAX(Afschrijvingen!$C$6:$AB$6)-$B21))</f>
        <v>16</v>
      </c>
      <c r="T21" s="38">
        <f>IF(AND($B21&lt;T$6,$B21+gen_uitsp_termijn&gt;=T$6),IF($B21+gen_uitsp_termijn&lt;MAX(Afschrijvingen!$C$6:$AB$6),gen_uitsp_termijn,MAX(Afschrijvingen!$C$6:$AB$6)-$B21))</f>
        <v>16</v>
      </c>
      <c r="U21" s="38">
        <f>IF(AND($B21&lt;U$6,$B21+gen_uitsp_termijn&gt;=U$6),IF($B21+gen_uitsp_termijn&lt;MAX(Afschrijvingen!$C$6:$AB$6),gen_uitsp_termijn,MAX(Afschrijvingen!$C$6:$AB$6)-$B21))</f>
        <v>16</v>
      </c>
      <c r="V21" s="38">
        <f>IF(AND($B21&lt;V$6,$B21+gen_uitsp_termijn&gt;=V$6),IF($B21+gen_uitsp_termijn&lt;MAX(Afschrijvingen!$C$6:$AB$6),gen_uitsp_termijn,MAX(Afschrijvingen!$C$6:$AB$6)-$B21))</f>
        <v>16</v>
      </c>
      <c r="W21" s="38">
        <f>IF(AND($B21&lt;W$6,$B21+gen_uitsp_termijn&gt;=W$6),IF($B21+gen_uitsp_termijn&lt;MAX(Afschrijvingen!$C$6:$AB$6),gen_uitsp_termijn,MAX(Afschrijvingen!$C$6:$AB$6)-$B21))</f>
        <v>16</v>
      </c>
      <c r="X21" s="38">
        <f>IF(AND($B21&lt;X$6,$B21+gen_uitsp_termijn&gt;=X$6),IF($B21+gen_uitsp_termijn&lt;MAX(Afschrijvingen!$C$6:$AB$6),gen_uitsp_termijn,MAX(Afschrijvingen!$C$6:$AB$6)-$B21))</f>
        <v>16</v>
      </c>
      <c r="Y21" s="38">
        <f>IF(AND($B21&lt;Y$6,$B21+gen_uitsp_termijn&gt;=Y$6),IF($B21+gen_uitsp_termijn&lt;MAX(Afschrijvingen!$C$6:$AB$6),gen_uitsp_termijn,MAX(Afschrijvingen!$C$6:$AB$6)-$B21))</f>
        <v>16</v>
      </c>
      <c r="Z21" s="38">
        <f>IF(AND($B21&lt;Z$6,$B21+gen_uitsp_termijn&gt;=Z$6),IF($B21+gen_uitsp_termijn&lt;MAX(Afschrijvingen!$C$6:$AB$6),gen_uitsp_termijn,MAX(Afschrijvingen!$C$6:$AB$6)-$B21))</f>
        <v>16</v>
      </c>
      <c r="AA21" s="38">
        <f>IF(AND($B21&lt;AA$6,$B21+gen_uitsp_termijn&gt;=AA$6),IF($B21+gen_uitsp_termijn&lt;MAX(Afschrijvingen!$C$6:$AB$6),gen_uitsp_termijn,MAX(Afschrijvingen!$C$6:$AB$6)-$B21))</f>
        <v>16</v>
      </c>
      <c r="AB21" s="38">
        <f>IF(AND($B21&lt;AB$6,$B21+gen_uitsp_termijn&gt;=AB$6),IF($B21+gen_uitsp_termijn&lt;MAX(Afschrijvingen!$C$6:$AB$6),gen_uitsp_termijn,MAX(Afschrijvingen!$C$6:$AB$6)-$B21))</f>
        <v>16</v>
      </c>
    </row>
    <row r="22" spans="1:28" x14ac:dyDescent="0.25">
      <c r="A22" s="21" t="s">
        <v>226</v>
      </c>
      <c r="B22" s="21">
        <v>10</v>
      </c>
      <c r="C22" s="38" t="b">
        <f>IF(AND($B22&lt;C$6,$B22+gen_uitsp_termijn&gt;=C$6),IF($B22+gen_uitsp_termijn&lt;MAX(Afschrijvingen!$C$6:$AB$6),gen_uitsp_termijn,MAX(Afschrijvingen!$C$6:$AB$6)-$B22))</f>
        <v>0</v>
      </c>
      <c r="D22" s="38" t="b">
        <f>IF(AND($B22&lt;D$6,$B22+gen_uitsp_termijn&gt;=D$6),IF($B22+gen_uitsp_termijn&lt;MAX(Afschrijvingen!$C$6:$AB$6),gen_uitsp_termijn,MAX(Afschrijvingen!$C$6:$AB$6)-$B22))</f>
        <v>0</v>
      </c>
      <c r="E22" s="38" t="b">
        <f>IF(AND($B22&lt;E$6,$B22+gen_uitsp_termijn&gt;=E$6),IF($B22+gen_uitsp_termijn&lt;MAX(Afschrijvingen!$C$6:$AB$6),gen_uitsp_termijn,MAX(Afschrijvingen!$C$6:$AB$6)-$B22))</f>
        <v>0</v>
      </c>
      <c r="F22" s="38" t="b">
        <f>IF(AND($B22&lt;F$6,$B22+gen_uitsp_termijn&gt;=F$6),IF($B22+gen_uitsp_termijn&lt;MAX(Afschrijvingen!$C$6:$AB$6),gen_uitsp_termijn,MAX(Afschrijvingen!$C$6:$AB$6)-$B22))</f>
        <v>0</v>
      </c>
      <c r="G22" s="38" t="b">
        <f>IF(AND($B22&lt;G$6,$B22+gen_uitsp_termijn&gt;=G$6),IF($B22+gen_uitsp_termijn&lt;MAX(Afschrijvingen!$C$6:$AB$6),gen_uitsp_termijn,MAX(Afschrijvingen!$C$6:$AB$6)-$B22))</f>
        <v>0</v>
      </c>
      <c r="H22" s="38" t="b">
        <f>IF(AND($B22&lt;H$6,$B22+gen_uitsp_termijn&gt;=H$6),IF($B22+gen_uitsp_termijn&lt;MAX(Afschrijvingen!$C$6:$AB$6),gen_uitsp_termijn,MAX(Afschrijvingen!$C$6:$AB$6)-$B22))</f>
        <v>0</v>
      </c>
      <c r="I22" s="38" t="b">
        <f>IF(AND($B22&lt;I$6,$B22+gen_uitsp_termijn&gt;=I$6),IF($B22+gen_uitsp_termijn&lt;MAX(Afschrijvingen!$C$6:$AB$6),gen_uitsp_termijn,MAX(Afschrijvingen!$C$6:$AB$6)-$B22))</f>
        <v>0</v>
      </c>
      <c r="J22" s="38" t="b">
        <f>IF(AND($B22&lt;J$6,$B22+gen_uitsp_termijn&gt;=J$6),IF($B22+gen_uitsp_termijn&lt;MAX(Afschrijvingen!$C$6:$AB$6),gen_uitsp_termijn,MAX(Afschrijvingen!$C$6:$AB$6)-$B22))</f>
        <v>0</v>
      </c>
      <c r="K22" s="38" t="b">
        <f>IF(AND($B22&lt;K$6,$B22+gen_uitsp_termijn&gt;=K$6),IF($B22+gen_uitsp_termijn&lt;MAX(Afschrijvingen!$C$6:$AB$6),gen_uitsp_termijn,MAX(Afschrijvingen!$C$6:$AB$6)-$B22))</f>
        <v>0</v>
      </c>
      <c r="L22" s="38" t="b">
        <f>IF(AND($B22&lt;L$6,$B22+gen_uitsp_termijn&gt;=L$6),IF($B22+gen_uitsp_termijn&lt;MAX(Afschrijvingen!$C$6:$AB$6),gen_uitsp_termijn,MAX(Afschrijvingen!$C$6:$AB$6)-$B22))</f>
        <v>0</v>
      </c>
      <c r="M22" s="38" t="b">
        <f>IF(AND($B22&lt;M$6,$B22+gen_uitsp_termijn&gt;=M$6),IF($B22+gen_uitsp_termijn&lt;MAX(Afschrijvingen!$C$6:$AB$6),gen_uitsp_termijn,MAX(Afschrijvingen!$C$6:$AB$6)-$B22))</f>
        <v>0</v>
      </c>
      <c r="N22" s="38">
        <f>IF(AND($B22&lt;N$6,$B22+gen_uitsp_termijn&gt;=N$6),IF($B22+gen_uitsp_termijn&lt;MAX(Afschrijvingen!$C$6:$AB$6),gen_uitsp_termijn,MAX(Afschrijvingen!$C$6:$AB$6)-$B22))</f>
        <v>15</v>
      </c>
      <c r="O22" s="38">
        <f>IF(AND($B22&lt;O$6,$B22+gen_uitsp_termijn&gt;=O$6),IF($B22+gen_uitsp_termijn&lt;MAX(Afschrijvingen!$C$6:$AB$6),gen_uitsp_termijn,MAX(Afschrijvingen!$C$6:$AB$6)-$B22))</f>
        <v>15</v>
      </c>
      <c r="P22" s="38">
        <f>IF(AND($B22&lt;P$6,$B22+gen_uitsp_termijn&gt;=P$6),IF($B22+gen_uitsp_termijn&lt;MAX(Afschrijvingen!$C$6:$AB$6),gen_uitsp_termijn,MAX(Afschrijvingen!$C$6:$AB$6)-$B22))</f>
        <v>15</v>
      </c>
      <c r="Q22" s="38">
        <f>IF(AND($B22&lt;Q$6,$B22+gen_uitsp_termijn&gt;=Q$6),IF($B22+gen_uitsp_termijn&lt;MAX(Afschrijvingen!$C$6:$AB$6),gen_uitsp_termijn,MAX(Afschrijvingen!$C$6:$AB$6)-$B22))</f>
        <v>15</v>
      </c>
      <c r="R22" s="38">
        <f>IF(AND($B22&lt;R$6,$B22+gen_uitsp_termijn&gt;=R$6),IF($B22+gen_uitsp_termijn&lt;MAX(Afschrijvingen!$C$6:$AB$6),gen_uitsp_termijn,MAX(Afschrijvingen!$C$6:$AB$6)-$B22))</f>
        <v>15</v>
      </c>
      <c r="S22" s="38">
        <f>IF(AND($B22&lt;S$6,$B22+gen_uitsp_termijn&gt;=S$6),IF($B22+gen_uitsp_termijn&lt;MAX(Afschrijvingen!$C$6:$AB$6),gen_uitsp_termijn,MAX(Afschrijvingen!$C$6:$AB$6)-$B22))</f>
        <v>15</v>
      </c>
      <c r="T22" s="38">
        <f>IF(AND($B22&lt;T$6,$B22+gen_uitsp_termijn&gt;=T$6),IF($B22+gen_uitsp_termijn&lt;MAX(Afschrijvingen!$C$6:$AB$6),gen_uitsp_termijn,MAX(Afschrijvingen!$C$6:$AB$6)-$B22))</f>
        <v>15</v>
      </c>
      <c r="U22" s="38">
        <f>IF(AND($B22&lt;U$6,$B22+gen_uitsp_termijn&gt;=U$6),IF($B22+gen_uitsp_termijn&lt;MAX(Afschrijvingen!$C$6:$AB$6),gen_uitsp_termijn,MAX(Afschrijvingen!$C$6:$AB$6)-$B22))</f>
        <v>15</v>
      </c>
      <c r="V22" s="38">
        <f>IF(AND($B22&lt;V$6,$B22+gen_uitsp_termijn&gt;=V$6),IF($B22+gen_uitsp_termijn&lt;MAX(Afschrijvingen!$C$6:$AB$6),gen_uitsp_termijn,MAX(Afschrijvingen!$C$6:$AB$6)-$B22))</f>
        <v>15</v>
      </c>
      <c r="W22" s="38">
        <f>IF(AND($B22&lt;W$6,$B22+gen_uitsp_termijn&gt;=W$6),IF($B22+gen_uitsp_termijn&lt;MAX(Afschrijvingen!$C$6:$AB$6),gen_uitsp_termijn,MAX(Afschrijvingen!$C$6:$AB$6)-$B22))</f>
        <v>15</v>
      </c>
      <c r="X22" s="38">
        <f>IF(AND($B22&lt;X$6,$B22+gen_uitsp_termijn&gt;=X$6),IF($B22+gen_uitsp_termijn&lt;MAX(Afschrijvingen!$C$6:$AB$6),gen_uitsp_termijn,MAX(Afschrijvingen!$C$6:$AB$6)-$B22))</f>
        <v>15</v>
      </c>
      <c r="Y22" s="38">
        <f>IF(AND($B22&lt;Y$6,$B22+gen_uitsp_termijn&gt;=Y$6),IF($B22+gen_uitsp_termijn&lt;MAX(Afschrijvingen!$C$6:$AB$6),gen_uitsp_termijn,MAX(Afschrijvingen!$C$6:$AB$6)-$B22))</f>
        <v>15</v>
      </c>
      <c r="Z22" s="38">
        <f>IF(AND($B22&lt;Z$6,$B22+gen_uitsp_termijn&gt;=Z$6),IF($B22+gen_uitsp_termijn&lt;MAX(Afschrijvingen!$C$6:$AB$6),gen_uitsp_termijn,MAX(Afschrijvingen!$C$6:$AB$6)-$B22))</f>
        <v>15</v>
      </c>
      <c r="AA22" s="38">
        <f>IF(AND($B22&lt;AA$6,$B22+gen_uitsp_termijn&gt;=AA$6),IF($B22+gen_uitsp_termijn&lt;MAX(Afschrijvingen!$C$6:$AB$6),gen_uitsp_termijn,MAX(Afschrijvingen!$C$6:$AB$6)-$B22))</f>
        <v>15</v>
      </c>
      <c r="AB22" s="38">
        <f>IF(AND($B22&lt;AB$6,$B22+gen_uitsp_termijn&gt;=AB$6),IF($B22+gen_uitsp_termijn&lt;MAX(Afschrijvingen!$C$6:$AB$6),gen_uitsp_termijn,MAX(Afschrijvingen!$C$6:$AB$6)-$B22))</f>
        <v>15</v>
      </c>
    </row>
    <row r="23" spans="1:28" x14ac:dyDescent="0.25">
      <c r="A23" s="21" t="s">
        <v>227</v>
      </c>
      <c r="B23" s="21">
        <v>11</v>
      </c>
      <c r="C23" s="38" t="b">
        <f>IF(AND($B23&lt;C$6,$B23+gen_uitsp_termijn&gt;=C$6),IF($B23+gen_uitsp_termijn&lt;MAX(Afschrijvingen!$C$6:$AB$6),gen_uitsp_termijn,MAX(Afschrijvingen!$C$6:$AB$6)-$B23))</f>
        <v>0</v>
      </c>
      <c r="D23" s="38" t="b">
        <f>IF(AND($B23&lt;D$6,$B23+gen_uitsp_termijn&gt;=D$6),IF($B23+gen_uitsp_termijn&lt;MAX(Afschrijvingen!$C$6:$AB$6),gen_uitsp_termijn,MAX(Afschrijvingen!$C$6:$AB$6)-$B23))</f>
        <v>0</v>
      </c>
      <c r="E23" s="38" t="b">
        <f>IF(AND($B23&lt;E$6,$B23+gen_uitsp_termijn&gt;=E$6),IF($B23+gen_uitsp_termijn&lt;MAX(Afschrijvingen!$C$6:$AB$6),gen_uitsp_termijn,MAX(Afschrijvingen!$C$6:$AB$6)-$B23))</f>
        <v>0</v>
      </c>
      <c r="F23" s="38" t="b">
        <f>IF(AND($B23&lt;F$6,$B23+gen_uitsp_termijn&gt;=F$6),IF($B23+gen_uitsp_termijn&lt;MAX(Afschrijvingen!$C$6:$AB$6),gen_uitsp_termijn,MAX(Afschrijvingen!$C$6:$AB$6)-$B23))</f>
        <v>0</v>
      </c>
      <c r="G23" s="38" t="b">
        <f>IF(AND($B23&lt;G$6,$B23+gen_uitsp_termijn&gt;=G$6),IF($B23+gen_uitsp_termijn&lt;MAX(Afschrijvingen!$C$6:$AB$6),gen_uitsp_termijn,MAX(Afschrijvingen!$C$6:$AB$6)-$B23))</f>
        <v>0</v>
      </c>
      <c r="H23" s="38" t="b">
        <f>IF(AND($B23&lt;H$6,$B23+gen_uitsp_termijn&gt;=H$6),IF($B23+gen_uitsp_termijn&lt;MAX(Afschrijvingen!$C$6:$AB$6),gen_uitsp_termijn,MAX(Afschrijvingen!$C$6:$AB$6)-$B23))</f>
        <v>0</v>
      </c>
      <c r="I23" s="38" t="b">
        <f>IF(AND($B23&lt;I$6,$B23+gen_uitsp_termijn&gt;=I$6),IF($B23+gen_uitsp_termijn&lt;MAX(Afschrijvingen!$C$6:$AB$6),gen_uitsp_termijn,MAX(Afschrijvingen!$C$6:$AB$6)-$B23))</f>
        <v>0</v>
      </c>
      <c r="J23" s="38" t="b">
        <f>IF(AND($B23&lt;J$6,$B23+gen_uitsp_termijn&gt;=J$6),IF($B23+gen_uitsp_termijn&lt;MAX(Afschrijvingen!$C$6:$AB$6),gen_uitsp_termijn,MAX(Afschrijvingen!$C$6:$AB$6)-$B23))</f>
        <v>0</v>
      </c>
      <c r="K23" s="38" t="b">
        <f>IF(AND($B23&lt;K$6,$B23+gen_uitsp_termijn&gt;=K$6),IF($B23+gen_uitsp_termijn&lt;MAX(Afschrijvingen!$C$6:$AB$6),gen_uitsp_termijn,MAX(Afschrijvingen!$C$6:$AB$6)-$B23))</f>
        <v>0</v>
      </c>
      <c r="L23" s="38" t="b">
        <f>IF(AND($B23&lt;L$6,$B23+gen_uitsp_termijn&gt;=L$6),IF($B23+gen_uitsp_termijn&lt;MAX(Afschrijvingen!$C$6:$AB$6),gen_uitsp_termijn,MAX(Afschrijvingen!$C$6:$AB$6)-$B23))</f>
        <v>0</v>
      </c>
      <c r="M23" s="38" t="b">
        <f>IF(AND($B23&lt;M$6,$B23+gen_uitsp_termijn&gt;=M$6),IF($B23+gen_uitsp_termijn&lt;MAX(Afschrijvingen!$C$6:$AB$6),gen_uitsp_termijn,MAX(Afschrijvingen!$C$6:$AB$6)-$B23))</f>
        <v>0</v>
      </c>
      <c r="N23" s="38" t="b">
        <f>IF(AND($B23&lt;N$6,$B23+gen_uitsp_termijn&gt;=N$6),IF($B23+gen_uitsp_termijn&lt;MAX(Afschrijvingen!$C$6:$AB$6),gen_uitsp_termijn,MAX(Afschrijvingen!$C$6:$AB$6)-$B23))</f>
        <v>0</v>
      </c>
      <c r="O23" s="38">
        <f>IF(AND($B23&lt;O$6,$B23+gen_uitsp_termijn&gt;=O$6),IF($B23+gen_uitsp_termijn&lt;MAX(Afschrijvingen!$C$6:$AB$6),gen_uitsp_termijn,MAX(Afschrijvingen!$C$6:$AB$6)-$B23))</f>
        <v>14</v>
      </c>
      <c r="P23" s="38">
        <f>IF(AND($B23&lt;P$6,$B23+gen_uitsp_termijn&gt;=P$6),IF($B23+gen_uitsp_termijn&lt;MAX(Afschrijvingen!$C$6:$AB$6),gen_uitsp_termijn,MAX(Afschrijvingen!$C$6:$AB$6)-$B23))</f>
        <v>14</v>
      </c>
      <c r="Q23" s="38">
        <f>IF(AND($B23&lt;Q$6,$B23+gen_uitsp_termijn&gt;=Q$6),IF($B23+gen_uitsp_termijn&lt;MAX(Afschrijvingen!$C$6:$AB$6),gen_uitsp_termijn,MAX(Afschrijvingen!$C$6:$AB$6)-$B23))</f>
        <v>14</v>
      </c>
      <c r="R23" s="38">
        <f>IF(AND($B23&lt;R$6,$B23+gen_uitsp_termijn&gt;=R$6),IF($B23+gen_uitsp_termijn&lt;MAX(Afschrijvingen!$C$6:$AB$6),gen_uitsp_termijn,MAX(Afschrijvingen!$C$6:$AB$6)-$B23))</f>
        <v>14</v>
      </c>
      <c r="S23" s="38">
        <f>IF(AND($B23&lt;S$6,$B23+gen_uitsp_termijn&gt;=S$6),IF($B23+gen_uitsp_termijn&lt;MAX(Afschrijvingen!$C$6:$AB$6),gen_uitsp_termijn,MAX(Afschrijvingen!$C$6:$AB$6)-$B23))</f>
        <v>14</v>
      </c>
      <c r="T23" s="38">
        <f>IF(AND($B23&lt;T$6,$B23+gen_uitsp_termijn&gt;=T$6),IF($B23+gen_uitsp_termijn&lt;MAX(Afschrijvingen!$C$6:$AB$6),gen_uitsp_termijn,MAX(Afschrijvingen!$C$6:$AB$6)-$B23))</f>
        <v>14</v>
      </c>
      <c r="U23" s="38">
        <f>IF(AND($B23&lt;U$6,$B23+gen_uitsp_termijn&gt;=U$6),IF($B23+gen_uitsp_termijn&lt;MAX(Afschrijvingen!$C$6:$AB$6),gen_uitsp_termijn,MAX(Afschrijvingen!$C$6:$AB$6)-$B23))</f>
        <v>14</v>
      </c>
      <c r="V23" s="38">
        <f>IF(AND($B23&lt;V$6,$B23+gen_uitsp_termijn&gt;=V$6),IF($B23+gen_uitsp_termijn&lt;MAX(Afschrijvingen!$C$6:$AB$6),gen_uitsp_termijn,MAX(Afschrijvingen!$C$6:$AB$6)-$B23))</f>
        <v>14</v>
      </c>
      <c r="W23" s="38">
        <f>IF(AND($B23&lt;W$6,$B23+gen_uitsp_termijn&gt;=W$6),IF($B23+gen_uitsp_termijn&lt;MAX(Afschrijvingen!$C$6:$AB$6),gen_uitsp_termijn,MAX(Afschrijvingen!$C$6:$AB$6)-$B23))</f>
        <v>14</v>
      </c>
      <c r="X23" s="38">
        <f>IF(AND($B23&lt;X$6,$B23+gen_uitsp_termijn&gt;=X$6),IF($B23+gen_uitsp_termijn&lt;MAX(Afschrijvingen!$C$6:$AB$6),gen_uitsp_termijn,MAX(Afschrijvingen!$C$6:$AB$6)-$B23))</f>
        <v>14</v>
      </c>
      <c r="Y23" s="38">
        <f>IF(AND($B23&lt;Y$6,$B23+gen_uitsp_termijn&gt;=Y$6),IF($B23+gen_uitsp_termijn&lt;MAX(Afschrijvingen!$C$6:$AB$6),gen_uitsp_termijn,MAX(Afschrijvingen!$C$6:$AB$6)-$B23))</f>
        <v>14</v>
      </c>
      <c r="Z23" s="38">
        <f>IF(AND($B23&lt;Z$6,$B23+gen_uitsp_termijn&gt;=Z$6),IF($B23+gen_uitsp_termijn&lt;MAX(Afschrijvingen!$C$6:$AB$6),gen_uitsp_termijn,MAX(Afschrijvingen!$C$6:$AB$6)-$B23))</f>
        <v>14</v>
      </c>
      <c r="AA23" s="38">
        <f>IF(AND($B23&lt;AA$6,$B23+gen_uitsp_termijn&gt;=AA$6),IF($B23+gen_uitsp_termijn&lt;MAX(Afschrijvingen!$C$6:$AB$6),gen_uitsp_termijn,MAX(Afschrijvingen!$C$6:$AB$6)-$B23))</f>
        <v>14</v>
      </c>
      <c r="AB23" s="38">
        <f>IF(AND($B23&lt;AB$6,$B23+gen_uitsp_termijn&gt;=AB$6),IF($B23+gen_uitsp_termijn&lt;MAX(Afschrijvingen!$C$6:$AB$6),gen_uitsp_termijn,MAX(Afschrijvingen!$C$6:$AB$6)-$B23))</f>
        <v>14</v>
      </c>
    </row>
    <row r="24" spans="1:28" x14ac:dyDescent="0.25">
      <c r="A24" s="21" t="s">
        <v>228</v>
      </c>
      <c r="B24" s="21">
        <v>12</v>
      </c>
      <c r="C24" s="38" t="b">
        <f>IF(AND($B24&lt;C$6,$B24+gen_uitsp_termijn&gt;=C$6),IF($B24+gen_uitsp_termijn&lt;MAX(Afschrijvingen!$C$6:$AB$6),gen_uitsp_termijn,MAX(Afschrijvingen!$C$6:$AB$6)-$B24))</f>
        <v>0</v>
      </c>
      <c r="D24" s="38" t="b">
        <f>IF(AND($B24&lt;D$6,$B24+gen_uitsp_termijn&gt;=D$6),IF($B24+gen_uitsp_termijn&lt;MAX(Afschrijvingen!$C$6:$AB$6),gen_uitsp_termijn,MAX(Afschrijvingen!$C$6:$AB$6)-$B24))</f>
        <v>0</v>
      </c>
      <c r="E24" s="38" t="b">
        <f>IF(AND($B24&lt;E$6,$B24+gen_uitsp_termijn&gt;=E$6),IF($B24+gen_uitsp_termijn&lt;MAX(Afschrijvingen!$C$6:$AB$6),gen_uitsp_termijn,MAX(Afschrijvingen!$C$6:$AB$6)-$B24))</f>
        <v>0</v>
      </c>
      <c r="F24" s="38" t="b">
        <f>IF(AND($B24&lt;F$6,$B24+gen_uitsp_termijn&gt;=F$6),IF($B24+gen_uitsp_termijn&lt;MAX(Afschrijvingen!$C$6:$AB$6),gen_uitsp_termijn,MAX(Afschrijvingen!$C$6:$AB$6)-$B24))</f>
        <v>0</v>
      </c>
      <c r="G24" s="38" t="b">
        <f>IF(AND($B24&lt;G$6,$B24+gen_uitsp_termijn&gt;=G$6),IF($B24+gen_uitsp_termijn&lt;MAX(Afschrijvingen!$C$6:$AB$6),gen_uitsp_termijn,MAX(Afschrijvingen!$C$6:$AB$6)-$B24))</f>
        <v>0</v>
      </c>
      <c r="H24" s="38" t="b">
        <f>IF(AND($B24&lt;H$6,$B24+gen_uitsp_termijn&gt;=H$6),IF($B24+gen_uitsp_termijn&lt;MAX(Afschrijvingen!$C$6:$AB$6),gen_uitsp_termijn,MAX(Afschrijvingen!$C$6:$AB$6)-$B24))</f>
        <v>0</v>
      </c>
      <c r="I24" s="38" t="b">
        <f>IF(AND($B24&lt;I$6,$B24+gen_uitsp_termijn&gt;=I$6),IF($B24+gen_uitsp_termijn&lt;MAX(Afschrijvingen!$C$6:$AB$6),gen_uitsp_termijn,MAX(Afschrijvingen!$C$6:$AB$6)-$B24))</f>
        <v>0</v>
      </c>
      <c r="J24" s="38" t="b">
        <f>IF(AND($B24&lt;J$6,$B24+gen_uitsp_termijn&gt;=J$6),IF($B24+gen_uitsp_termijn&lt;MAX(Afschrijvingen!$C$6:$AB$6),gen_uitsp_termijn,MAX(Afschrijvingen!$C$6:$AB$6)-$B24))</f>
        <v>0</v>
      </c>
      <c r="K24" s="38" t="b">
        <f>IF(AND($B24&lt;K$6,$B24+gen_uitsp_termijn&gt;=K$6),IF($B24+gen_uitsp_termijn&lt;MAX(Afschrijvingen!$C$6:$AB$6),gen_uitsp_termijn,MAX(Afschrijvingen!$C$6:$AB$6)-$B24))</f>
        <v>0</v>
      </c>
      <c r="L24" s="38" t="b">
        <f>IF(AND($B24&lt;L$6,$B24+gen_uitsp_termijn&gt;=L$6),IF($B24+gen_uitsp_termijn&lt;MAX(Afschrijvingen!$C$6:$AB$6),gen_uitsp_termijn,MAX(Afschrijvingen!$C$6:$AB$6)-$B24))</f>
        <v>0</v>
      </c>
      <c r="M24" s="38" t="b">
        <f>IF(AND($B24&lt;M$6,$B24+gen_uitsp_termijn&gt;=M$6),IF($B24+gen_uitsp_termijn&lt;MAX(Afschrijvingen!$C$6:$AB$6),gen_uitsp_termijn,MAX(Afschrijvingen!$C$6:$AB$6)-$B24))</f>
        <v>0</v>
      </c>
      <c r="N24" s="38" t="b">
        <f>IF(AND($B24&lt;N$6,$B24+gen_uitsp_termijn&gt;=N$6),IF($B24+gen_uitsp_termijn&lt;MAX(Afschrijvingen!$C$6:$AB$6),gen_uitsp_termijn,MAX(Afschrijvingen!$C$6:$AB$6)-$B24))</f>
        <v>0</v>
      </c>
      <c r="O24" s="38" t="b">
        <f>IF(AND($B24&lt;O$6,$B24+gen_uitsp_termijn&gt;=O$6),IF($B24+gen_uitsp_termijn&lt;MAX(Afschrijvingen!$C$6:$AB$6),gen_uitsp_termijn,MAX(Afschrijvingen!$C$6:$AB$6)-$B24))</f>
        <v>0</v>
      </c>
      <c r="P24" s="38">
        <f>IF(AND($B24&lt;P$6,$B24+gen_uitsp_termijn&gt;=P$6),IF($B24+gen_uitsp_termijn&lt;MAX(Afschrijvingen!$C$6:$AB$6),gen_uitsp_termijn,MAX(Afschrijvingen!$C$6:$AB$6)-$B24))</f>
        <v>13</v>
      </c>
      <c r="Q24" s="38">
        <f>IF(AND($B24&lt;Q$6,$B24+gen_uitsp_termijn&gt;=Q$6),IF($B24+gen_uitsp_termijn&lt;MAX(Afschrijvingen!$C$6:$AB$6),gen_uitsp_termijn,MAX(Afschrijvingen!$C$6:$AB$6)-$B24))</f>
        <v>13</v>
      </c>
      <c r="R24" s="38">
        <f>IF(AND($B24&lt;R$6,$B24+gen_uitsp_termijn&gt;=R$6),IF($B24+gen_uitsp_termijn&lt;MAX(Afschrijvingen!$C$6:$AB$6),gen_uitsp_termijn,MAX(Afschrijvingen!$C$6:$AB$6)-$B24))</f>
        <v>13</v>
      </c>
      <c r="S24" s="38">
        <f>IF(AND($B24&lt;S$6,$B24+gen_uitsp_termijn&gt;=S$6),IF($B24+gen_uitsp_termijn&lt;MAX(Afschrijvingen!$C$6:$AB$6),gen_uitsp_termijn,MAX(Afschrijvingen!$C$6:$AB$6)-$B24))</f>
        <v>13</v>
      </c>
      <c r="T24" s="38">
        <f>IF(AND($B24&lt;T$6,$B24+gen_uitsp_termijn&gt;=T$6),IF($B24+gen_uitsp_termijn&lt;MAX(Afschrijvingen!$C$6:$AB$6),gen_uitsp_termijn,MAX(Afschrijvingen!$C$6:$AB$6)-$B24))</f>
        <v>13</v>
      </c>
      <c r="U24" s="38">
        <f>IF(AND($B24&lt;U$6,$B24+gen_uitsp_termijn&gt;=U$6),IF($B24+gen_uitsp_termijn&lt;MAX(Afschrijvingen!$C$6:$AB$6),gen_uitsp_termijn,MAX(Afschrijvingen!$C$6:$AB$6)-$B24))</f>
        <v>13</v>
      </c>
      <c r="V24" s="38">
        <f>IF(AND($B24&lt;V$6,$B24+gen_uitsp_termijn&gt;=V$6),IF($B24+gen_uitsp_termijn&lt;MAX(Afschrijvingen!$C$6:$AB$6),gen_uitsp_termijn,MAX(Afschrijvingen!$C$6:$AB$6)-$B24))</f>
        <v>13</v>
      </c>
      <c r="W24" s="38">
        <f>IF(AND($B24&lt;W$6,$B24+gen_uitsp_termijn&gt;=W$6),IF($B24+gen_uitsp_termijn&lt;MAX(Afschrijvingen!$C$6:$AB$6),gen_uitsp_termijn,MAX(Afschrijvingen!$C$6:$AB$6)-$B24))</f>
        <v>13</v>
      </c>
      <c r="X24" s="38">
        <f>IF(AND($B24&lt;X$6,$B24+gen_uitsp_termijn&gt;=X$6),IF($B24+gen_uitsp_termijn&lt;MAX(Afschrijvingen!$C$6:$AB$6),gen_uitsp_termijn,MAX(Afschrijvingen!$C$6:$AB$6)-$B24))</f>
        <v>13</v>
      </c>
      <c r="Y24" s="38">
        <f>IF(AND($B24&lt;Y$6,$B24+gen_uitsp_termijn&gt;=Y$6),IF($B24+gen_uitsp_termijn&lt;MAX(Afschrijvingen!$C$6:$AB$6),gen_uitsp_termijn,MAX(Afschrijvingen!$C$6:$AB$6)-$B24))</f>
        <v>13</v>
      </c>
      <c r="Z24" s="38">
        <f>IF(AND($B24&lt;Z$6,$B24+gen_uitsp_termijn&gt;=Z$6),IF($B24+gen_uitsp_termijn&lt;MAX(Afschrijvingen!$C$6:$AB$6),gen_uitsp_termijn,MAX(Afschrijvingen!$C$6:$AB$6)-$B24))</f>
        <v>13</v>
      </c>
      <c r="AA24" s="38">
        <f>IF(AND($B24&lt;AA$6,$B24+gen_uitsp_termijn&gt;=AA$6),IF($B24+gen_uitsp_termijn&lt;MAX(Afschrijvingen!$C$6:$AB$6),gen_uitsp_termijn,MAX(Afschrijvingen!$C$6:$AB$6)-$B24))</f>
        <v>13</v>
      </c>
      <c r="AB24" s="38">
        <f>IF(AND($B24&lt;AB$6,$B24+gen_uitsp_termijn&gt;=AB$6),IF($B24+gen_uitsp_termijn&lt;MAX(Afschrijvingen!$C$6:$AB$6),gen_uitsp_termijn,MAX(Afschrijvingen!$C$6:$AB$6)-$B24))</f>
        <v>13</v>
      </c>
    </row>
    <row r="25" spans="1:28" x14ac:dyDescent="0.25">
      <c r="A25" s="21" t="s">
        <v>229</v>
      </c>
      <c r="B25" s="21">
        <v>13</v>
      </c>
      <c r="C25" s="38" t="b">
        <f>IF(AND($B25&lt;C$6,$B25+gen_uitsp_termijn&gt;=C$6),IF($B25+gen_uitsp_termijn&lt;MAX(Afschrijvingen!$C$6:$AB$6),gen_uitsp_termijn,MAX(Afschrijvingen!$C$6:$AB$6)-$B25))</f>
        <v>0</v>
      </c>
      <c r="D25" s="38" t="b">
        <f>IF(AND($B25&lt;D$6,$B25+gen_uitsp_termijn&gt;=D$6),IF($B25+gen_uitsp_termijn&lt;MAX(Afschrijvingen!$C$6:$AB$6),gen_uitsp_termijn,MAX(Afschrijvingen!$C$6:$AB$6)-$B25))</f>
        <v>0</v>
      </c>
      <c r="E25" s="38" t="b">
        <f>IF(AND($B25&lt;E$6,$B25+gen_uitsp_termijn&gt;=E$6),IF($B25+gen_uitsp_termijn&lt;MAX(Afschrijvingen!$C$6:$AB$6),gen_uitsp_termijn,MAX(Afschrijvingen!$C$6:$AB$6)-$B25))</f>
        <v>0</v>
      </c>
      <c r="F25" s="38" t="b">
        <f>IF(AND($B25&lt;F$6,$B25+gen_uitsp_termijn&gt;=F$6),IF($B25+gen_uitsp_termijn&lt;MAX(Afschrijvingen!$C$6:$AB$6),gen_uitsp_termijn,MAX(Afschrijvingen!$C$6:$AB$6)-$B25))</f>
        <v>0</v>
      </c>
      <c r="G25" s="38" t="b">
        <f>IF(AND($B25&lt;G$6,$B25+gen_uitsp_termijn&gt;=G$6),IF($B25+gen_uitsp_termijn&lt;MAX(Afschrijvingen!$C$6:$AB$6),gen_uitsp_termijn,MAX(Afschrijvingen!$C$6:$AB$6)-$B25))</f>
        <v>0</v>
      </c>
      <c r="H25" s="38" t="b">
        <f>IF(AND($B25&lt;H$6,$B25+gen_uitsp_termijn&gt;=H$6),IF($B25+gen_uitsp_termijn&lt;MAX(Afschrijvingen!$C$6:$AB$6),gen_uitsp_termijn,MAX(Afschrijvingen!$C$6:$AB$6)-$B25))</f>
        <v>0</v>
      </c>
      <c r="I25" s="38" t="b">
        <f>IF(AND($B25&lt;I$6,$B25+gen_uitsp_termijn&gt;=I$6),IF($B25+gen_uitsp_termijn&lt;MAX(Afschrijvingen!$C$6:$AB$6),gen_uitsp_termijn,MAX(Afschrijvingen!$C$6:$AB$6)-$B25))</f>
        <v>0</v>
      </c>
      <c r="J25" s="38" t="b">
        <f>IF(AND($B25&lt;J$6,$B25+gen_uitsp_termijn&gt;=J$6),IF($B25+gen_uitsp_termijn&lt;MAX(Afschrijvingen!$C$6:$AB$6),gen_uitsp_termijn,MAX(Afschrijvingen!$C$6:$AB$6)-$B25))</f>
        <v>0</v>
      </c>
      <c r="K25" s="38" t="b">
        <f>IF(AND($B25&lt;K$6,$B25+gen_uitsp_termijn&gt;=K$6),IF($B25+gen_uitsp_termijn&lt;MAX(Afschrijvingen!$C$6:$AB$6),gen_uitsp_termijn,MAX(Afschrijvingen!$C$6:$AB$6)-$B25))</f>
        <v>0</v>
      </c>
      <c r="L25" s="38" t="b">
        <f>IF(AND($B25&lt;L$6,$B25+gen_uitsp_termijn&gt;=L$6),IF($B25+gen_uitsp_termijn&lt;MAX(Afschrijvingen!$C$6:$AB$6),gen_uitsp_termijn,MAX(Afschrijvingen!$C$6:$AB$6)-$B25))</f>
        <v>0</v>
      </c>
      <c r="M25" s="38" t="b">
        <f>IF(AND($B25&lt;M$6,$B25+gen_uitsp_termijn&gt;=M$6),IF($B25+gen_uitsp_termijn&lt;MAX(Afschrijvingen!$C$6:$AB$6),gen_uitsp_termijn,MAX(Afschrijvingen!$C$6:$AB$6)-$B25))</f>
        <v>0</v>
      </c>
      <c r="N25" s="38" t="b">
        <f>IF(AND($B25&lt;N$6,$B25+gen_uitsp_termijn&gt;=N$6),IF($B25+gen_uitsp_termijn&lt;MAX(Afschrijvingen!$C$6:$AB$6),gen_uitsp_termijn,MAX(Afschrijvingen!$C$6:$AB$6)-$B25))</f>
        <v>0</v>
      </c>
      <c r="O25" s="38" t="b">
        <f>IF(AND($B25&lt;O$6,$B25+gen_uitsp_termijn&gt;=O$6),IF($B25+gen_uitsp_termijn&lt;MAX(Afschrijvingen!$C$6:$AB$6),gen_uitsp_termijn,MAX(Afschrijvingen!$C$6:$AB$6)-$B25))</f>
        <v>0</v>
      </c>
      <c r="P25" s="38" t="b">
        <f>IF(AND($B25&lt;P$6,$B25+gen_uitsp_termijn&gt;=P$6),IF($B25+gen_uitsp_termijn&lt;MAX(Afschrijvingen!$C$6:$AB$6),gen_uitsp_termijn,MAX(Afschrijvingen!$C$6:$AB$6)-$B25))</f>
        <v>0</v>
      </c>
      <c r="Q25" s="38">
        <f>IF(AND($B25&lt;Q$6,$B25+gen_uitsp_termijn&gt;=Q$6),IF($B25+gen_uitsp_termijn&lt;MAX(Afschrijvingen!$C$6:$AB$6),gen_uitsp_termijn,MAX(Afschrijvingen!$C$6:$AB$6)-$B25))</f>
        <v>12</v>
      </c>
      <c r="R25" s="38">
        <f>IF(AND($B25&lt;R$6,$B25+gen_uitsp_termijn&gt;=R$6),IF($B25+gen_uitsp_termijn&lt;MAX(Afschrijvingen!$C$6:$AB$6),gen_uitsp_termijn,MAX(Afschrijvingen!$C$6:$AB$6)-$B25))</f>
        <v>12</v>
      </c>
      <c r="S25" s="38">
        <f>IF(AND($B25&lt;S$6,$B25+gen_uitsp_termijn&gt;=S$6),IF($B25+gen_uitsp_termijn&lt;MAX(Afschrijvingen!$C$6:$AB$6),gen_uitsp_termijn,MAX(Afschrijvingen!$C$6:$AB$6)-$B25))</f>
        <v>12</v>
      </c>
      <c r="T25" s="38">
        <f>IF(AND($B25&lt;T$6,$B25+gen_uitsp_termijn&gt;=T$6),IF($B25+gen_uitsp_termijn&lt;MAX(Afschrijvingen!$C$6:$AB$6),gen_uitsp_termijn,MAX(Afschrijvingen!$C$6:$AB$6)-$B25))</f>
        <v>12</v>
      </c>
      <c r="U25" s="38">
        <f>IF(AND($B25&lt;U$6,$B25+gen_uitsp_termijn&gt;=U$6),IF($B25+gen_uitsp_termijn&lt;MAX(Afschrijvingen!$C$6:$AB$6),gen_uitsp_termijn,MAX(Afschrijvingen!$C$6:$AB$6)-$B25))</f>
        <v>12</v>
      </c>
      <c r="V25" s="38">
        <f>IF(AND($B25&lt;V$6,$B25+gen_uitsp_termijn&gt;=V$6),IF($B25+gen_uitsp_termijn&lt;MAX(Afschrijvingen!$C$6:$AB$6),gen_uitsp_termijn,MAX(Afschrijvingen!$C$6:$AB$6)-$B25))</f>
        <v>12</v>
      </c>
      <c r="W25" s="38">
        <f>IF(AND($B25&lt;W$6,$B25+gen_uitsp_termijn&gt;=W$6),IF($B25+gen_uitsp_termijn&lt;MAX(Afschrijvingen!$C$6:$AB$6),gen_uitsp_termijn,MAX(Afschrijvingen!$C$6:$AB$6)-$B25))</f>
        <v>12</v>
      </c>
      <c r="X25" s="38">
        <f>IF(AND($B25&lt;X$6,$B25+gen_uitsp_termijn&gt;=X$6),IF($B25+gen_uitsp_termijn&lt;MAX(Afschrijvingen!$C$6:$AB$6),gen_uitsp_termijn,MAX(Afschrijvingen!$C$6:$AB$6)-$B25))</f>
        <v>12</v>
      </c>
      <c r="Y25" s="38">
        <f>IF(AND($B25&lt;Y$6,$B25+gen_uitsp_termijn&gt;=Y$6),IF($B25+gen_uitsp_termijn&lt;MAX(Afschrijvingen!$C$6:$AB$6),gen_uitsp_termijn,MAX(Afschrijvingen!$C$6:$AB$6)-$B25))</f>
        <v>12</v>
      </c>
      <c r="Z25" s="38">
        <f>IF(AND($B25&lt;Z$6,$B25+gen_uitsp_termijn&gt;=Z$6),IF($B25+gen_uitsp_termijn&lt;MAX(Afschrijvingen!$C$6:$AB$6),gen_uitsp_termijn,MAX(Afschrijvingen!$C$6:$AB$6)-$B25))</f>
        <v>12</v>
      </c>
      <c r="AA25" s="38">
        <f>IF(AND($B25&lt;AA$6,$B25+gen_uitsp_termijn&gt;=AA$6),IF($B25+gen_uitsp_termijn&lt;MAX(Afschrijvingen!$C$6:$AB$6),gen_uitsp_termijn,MAX(Afschrijvingen!$C$6:$AB$6)-$B25))</f>
        <v>12</v>
      </c>
      <c r="AB25" s="38">
        <f>IF(AND($B25&lt;AB$6,$B25+gen_uitsp_termijn&gt;=AB$6),IF($B25+gen_uitsp_termijn&lt;MAX(Afschrijvingen!$C$6:$AB$6),gen_uitsp_termijn,MAX(Afschrijvingen!$C$6:$AB$6)-$B25))</f>
        <v>12</v>
      </c>
    </row>
    <row r="26" spans="1:28" x14ac:dyDescent="0.25">
      <c r="A26" s="21" t="s">
        <v>230</v>
      </c>
      <c r="B26" s="21">
        <v>14</v>
      </c>
      <c r="C26" s="38" t="b">
        <f>IF(AND($B26&lt;C$6,$B26+gen_uitsp_termijn&gt;=C$6),IF($B26+gen_uitsp_termijn&lt;MAX(Afschrijvingen!$C$6:$AB$6),gen_uitsp_termijn,MAX(Afschrijvingen!$C$6:$AB$6)-$B26))</f>
        <v>0</v>
      </c>
      <c r="D26" s="38" t="b">
        <f>IF(AND($B26&lt;D$6,$B26+gen_uitsp_termijn&gt;=D$6),IF($B26+gen_uitsp_termijn&lt;MAX(Afschrijvingen!$C$6:$AB$6),gen_uitsp_termijn,MAX(Afschrijvingen!$C$6:$AB$6)-$B26))</f>
        <v>0</v>
      </c>
      <c r="E26" s="38" t="b">
        <f>IF(AND($B26&lt;E$6,$B26+gen_uitsp_termijn&gt;=E$6),IF($B26+gen_uitsp_termijn&lt;MAX(Afschrijvingen!$C$6:$AB$6),gen_uitsp_termijn,MAX(Afschrijvingen!$C$6:$AB$6)-$B26))</f>
        <v>0</v>
      </c>
      <c r="F26" s="38" t="b">
        <f>IF(AND($B26&lt;F$6,$B26+gen_uitsp_termijn&gt;=F$6),IF($B26+gen_uitsp_termijn&lt;MAX(Afschrijvingen!$C$6:$AB$6),gen_uitsp_termijn,MAX(Afschrijvingen!$C$6:$AB$6)-$B26))</f>
        <v>0</v>
      </c>
      <c r="G26" s="38" t="b">
        <f>IF(AND($B26&lt;G$6,$B26+gen_uitsp_termijn&gt;=G$6),IF($B26+gen_uitsp_termijn&lt;MAX(Afschrijvingen!$C$6:$AB$6),gen_uitsp_termijn,MAX(Afschrijvingen!$C$6:$AB$6)-$B26))</f>
        <v>0</v>
      </c>
      <c r="H26" s="38" t="b">
        <f>IF(AND($B26&lt;H$6,$B26+gen_uitsp_termijn&gt;=H$6),IF($B26+gen_uitsp_termijn&lt;MAX(Afschrijvingen!$C$6:$AB$6),gen_uitsp_termijn,MAX(Afschrijvingen!$C$6:$AB$6)-$B26))</f>
        <v>0</v>
      </c>
      <c r="I26" s="38" t="b">
        <f>IF(AND($B26&lt;I$6,$B26+gen_uitsp_termijn&gt;=I$6),IF($B26+gen_uitsp_termijn&lt;MAX(Afschrijvingen!$C$6:$AB$6),gen_uitsp_termijn,MAX(Afschrijvingen!$C$6:$AB$6)-$B26))</f>
        <v>0</v>
      </c>
      <c r="J26" s="38" t="b">
        <f>IF(AND($B26&lt;J$6,$B26+gen_uitsp_termijn&gt;=J$6),IF($B26+gen_uitsp_termijn&lt;MAX(Afschrijvingen!$C$6:$AB$6),gen_uitsp_termijn,MAX(Afschrijvingen!$C$6:$AB$6)-$B26))</f>
        <v>0</v>
      </c>
      <c r="K26" s="38" t="b">
        <f>IF(AND($B26&lt;K$6,$B26+gen_uitsp_termijn&gt;=K$6),IF($B26+gen_uitsp_termijn&lt;MAX(Afschrijvingen!$C$6:$AB$6),gen_uitsp_termijn,MAX(Afschrijvingen!$C$6:$AB$6)-$B26))</f>
        <v>0</v>
      </c>
      <c r="L26" s="38" t="b">
        <f>IF(AND($B26&lt;L$6,$B26+gen_uitsp_termijn&gt;=L$6),IF($B26+gen_uitsp_termijn&lt;MAX(Afschrijvingen!$C$6:$AB$6),gen_uitsp_termijn,MAX(Afschrijvingen!$C$6:$AB$6)-$B26))</f>
        <v>0</v>
      </c>
      <c r="M26" s="38" t="b">
        <f>IF(AND($B26&lt;M$6,$B26+gen_uitsp_termijn&gt;=M$6),IF($B26+gen_uitsp_termijn&lt;MAX(Afschrijvingen!$C$6:$AB$6),gen_uitsp_termijn,MAX(Afschrijvingen!$C$6:$AB$6)-$B26))</f>
        <v>0</v>
      </c>
      <c r="N26" s="38" t="b">
        <f>IF(AND($B26&lt;N$6,$B26+gen_uitsp_termijn&gt;=N$6),IF($B26+gen_uitsp_termijn&lt;MAX(Afschrijvingen!$C$6:$AB$6),gen_uitsp_termijn,MAX(Afschrijvingen!$C$6:$AB$6)-$B26))</f>
        <v>0</v>
      </c>
      <c r="O26" s="38" t="b">
        <f>IF(AND($B26&lt;O$6,$B26+gen_uitsp_termijn&gt;=O$6),IF($B26+gen_uitsp_termijn&lt;MAX(Afschrijvingen!$C$6:$AB$6),gen_uitsp_termijn,MAX(Afschrijvingen!$C$6:$AB$6)-$B26))</f>
        <v>0</v>
      </c>
      <c r="P26" s="38" t="b">
        <f>IF(AND($B26&lt;P$6,$B26+gen_uitsp_termijn&gt;=P$6),IF($B26+gen_uitsp_termijn&lt;MAX(Afschrijvingen!$C$6:$AB$6),gen_uitsp_termijn,MAX(Afschrijvingen!$C$6:$AB$6)-$B26))</f>
        <v>0</v>
      </c>
      <c r="Q26" s="38" t="b">
        <f>IF(AND($B26&lt;Q$6,$B26+gen_uitsp_termijn&gt;=Q$6),IF($B26+gen_uitsp_termijn&lt;MAX(Afschrijvingen!$C$6:$AB$6),gen_uitsp_termijn,MAX(Afschrijvingen!$C$6:$AB$6)-$B26))</f>
        <v>0</v>
      </c>
      <c r="R26" s="38">
        <f>IF(AND($B26&lt;R$6,$B26+gen_uitsp_termijn&gt;=R$6),IF($B26+gen_uitsp_termijn&lt;MAX(Afschrijvingen!$C$6:$AB$6),gen_uitsp_termijn,MAX(Afschrijvingen!$C$6:$AB$6)-$B26))</f>
        <v>11</v>
      </c>
      <c r="S26" s="38">
        <f>IF(AND($B26&lt;S$6,$B26+gen_uitsp_termijn&gt;=S$6),IF($B26+gen_uitsp_termijn&lt;MAX(Afschrijvingen!$C$6:$AB$6),gen_uitsp_termijn,MAX(Afschrijvingen!$C$6:$AB$6)-$B26))</f>
        <v>11</v>
      </c>
      <c r="T26" s="38">
        <f>IF(AND($B26&lt;T$6,$B26+gen_uitsp_termijn&gt;=T$6),IF($B26+gen_uitsp_termijn&lt;MAX(Afschrijvingen!$C$6:$AB$6),gen_uitsp_termijn,MAX(Afschrijvingen!$C$6:$AB$6)-$B26))</f>
        <v>11</v>
      </c>
      <c r="U26" s="38">
        <f>IF(AND($B26&lt;U$6,$B26+gen_uitsp_termijn&gt;=U$6),IF($B26+gen_uitsp_termijn&lt;MAX(Afschrijvingen!$C$6:$AB$6),gen_uitsp_termijn,MAX(Afschrijvingen!$C$6:$AB$6)-$B26))</f>
        <v>11</v>
      </c>
      <c r="V26" s="38">
        <f>IF(AND($B26&lt;V$6,$B26+gen_uitsp_termijn&gt;=V$6),IF($B26+gen_uitsp_termijn&lt;MAX(Afschrijvingen!$C$6:$AB$6),gen_uitsp_termijn,MAX(Afschrijvingen!$C$6:$AB$6)-$B26))</f>
        <v>11</v>
      </c>
      <c r="W26" s="38">
        <f>IF(AND($B26&lt;W$6,$B26+gen_uitsp_termijn&gt;=W$6),IF($B26+gen_uitsp_termijn&lt;MAX(Afschrijvingen!$C$6:$AB$6),gen_uitsp_termijn,MAX(Afschrijvingen!$C$6:$AB$6)-$B26))</f>
        <v>11</v>
      </c>
      <c r="X26" s="38">
        <f>IF(AND($B26&lt;X$6,$B26+gen_uitsp_termijn&gt;=X$6),IF($B26+gen_uitsp_termijn&lt;MAX(Afschrijvingen!$C$6:$AB$6),gen_uitsp_termijn,MAX(Afschrijvingen!$C$6:$AB$6)-$B26))</f>
        <v>11</v>
      </c>
      <c r="Y26" s="38">
        <f>IF(AND($B26&lt;Y$6,$B26+gen_uitsp_termijn&gt;=Y$6),IF($B26+gen_uitsp_termijn&lt;MAX(Afschrijvingen!$C$6:$AB$6),gen_uitsp_termijn,MAX(Afschrijvingen!$C$6:$AB$6)-$B26))</f>
        <v>11</v>
      </c>
      <c r="Z26" s="38">
        <f>IF(AND($B26&lt;Z$6,$B26+gen_uitsp_termijn&gt;=Z$6),IF($B26+gen_uitsp_termijn&lt;MAX(Afschrijvingen!$C$6:$AB$6),gen_uitsp_termijn,MAX(Afschrijvingen!$C$6:$AB$6)-$B26))</f>
        <v>11</v>
      </c>
      <c r="AA26" s="38">
        <f>IF(AND($B26&lt;AA$6,$B26+gen_uitsp_termijn&gt;=AA$6),IF($B26+gen_uitsp_termijn&lt;MAX(Afschrijvingen!$C$6:$AB$6),gen_uitsp_termijn,MAX(Afschrijvingen!$C$6:$AB$6)-$B26))</f>
        <v>11</v>
      </c>
      <c r="AB26" s="38">
        <f>IF(AND($B26&lt;AB$6,$B26+gen_uitsp_termijn&gt;=AB$6),IF($B26+gen_uitsp_termijn&lt;MAX(Afschrijvingen!$C$6:$AB$6),gen_uitsp_termijn,MAX(Afschrijvingen!$C$6:$AB$6)-$B26))</f>
        <v>11</v>
      </c>
    </row>
    <row r="27" spans="1:28" x14ac:dyDescent="0.25">
      <c r="A27" s="21" t="s">
        <v>231</v>
      </c>
      <c r="B27" s="21">
        <v>15</v>
      </c>
      <c r="C27" s="38" t="b">
        <f>IF(AND($B27&lt;C$6,$B27+gen_uitsp_termijn&gt;=C$6),IF($B27+gen_uitsp_termijn&lt;MAX(Afschrijvingen!$C$6:$AB$6),gen_uitsp_termijn,MAX(Afschrijvingen!$C$6:$AB$6)-$B27))</f>
        <v>0</v>
      </c>
      <c r="D27" s="38" t="b">
        <f>IF(AND($B27&lt;D$6,$B27+gen_uitsp_termijn&gt;=D$6),IF($B27+gen_uitsp_termijn&lt;MAX(Afschrijvingen!$C$6:$AB$6),gen_uitsp_termijn,MAX(Afschrijvingen!$C$6:$AB$6)-$B27))</f>
        <v>0</v>
      </c>
      <c r="E27" s="38" t="b">
        <f>IF(AND($B27&lt;E$6,$B27+gen_uitsp_termijn&gt;=E$6),IF($B27+gen_uitsp_termijn&lt;MAX(Afschrijvingen!$C$6:$AB$6),gen_uitsp_termijn,MAX(Afschrijvingen!$C$6:$AB$6)-$B27))</f>
        <v>0</v>
      </c>
      <c r="F27" s="38" t="b">
        <f>IF(AND($B27&lt;F$6,$B27+gen_uitsp_termijn&gt;=F$6),IF($B27+gen_uitsp_termijn&lt;MAX(Afschrijvingen!$C$6:$AB$6),gen_uitsp_termijn,MAX(Afschrijvingen!$C$6:$AB$6)-$B27))</f>
        <v>0</v>
      </c>
      <c r="G27" s="38" t="b">
        <f>IF(AND($B27&lt;G$6,$B27+gen_uitsp_termijn&gt;=G$6),IF($B27+gen_uitsp_termijn&lt;MAX(Afschrijvingen!$C$6:$AB$6),gen_uitsp_termijn,MAX(Afschrijvingen!$C$6:$AB$6)-$B27))</f>
        <v>0</v>
      </c>
      <c r="H27" s="38" t="b">
        <f>IF(AND($B27&lt;H$6,$B27+gen_uitsp_termijn&gt;=H$6),IF($B27+gen_uitsp_termijn&lt;MAX(Afschrijvingen!$C$6:$AB$6),gen_uitsp_termijn,MAX(Afschrijvingen!$C$6:$AB$6)-$B27))</f>
        <v>0</v>
      </c>
      <c r="I27" s="38" t="b">
        <f>IF(AND($B27&lt;I$6,$B27+gen_uitsp_termijn&gt;=I$6),IF($B27+gen_uitsp_termijn&lt;MAX(Afschrijvingen!$C$6:$AB$6),gen_uitsp_termijn,MAX(Afschrijvingen!$C$6:$AB$6)-$B27))</f>
        <v>0</v>
      </c>
      <c r="J27" s="38" t="b">
        <f>IF(AND($B27&lt;J$6,$B27+gen_uitsp_termijn&gt;=J$6),IF($B27+gen_uitsp_termijn&lt;MAX(Afschrijvingen!$C$6:$AB$6),gen_uitsp_termijn,MAX(Afschrijvingen!$C$6:$AB$6)-$B27))</f>
        <v>0</v>
      </c>
      <c r="K27" s="38" t="b">
        <f>IF(AND($B27&lt;K$6,$B27+gen_uitsp_termijn&gt;=K$6),IF($B27+gen_uitsp_termijn&lt;MAX(Afschrijvingen!$C$6:$AB$6),gen_uitsp_termijn,MAX(Afschrijvingen!$C$6:$AB$6)-$B27))</f>
        <v>0</v>
      </c>
      <c r="L27" s="38" t="b">
        <f>IF(AND($B27&lt;L$6,$B27+gen_uitsp_termijn&gt;=L$6),IF($B27+gen_uitsp_termijn&lt;MAX(Afschrijvingen!$C$6:$AB$6),gen_uitsp_termijn,MAX(Afschrijvingen!$C$6:$AB$6)-$B27))</f>
        <v>0</v>
      </c>
      <c r="M27" s="38" t="b">
        <f>IF(AND($B27&lt;M$6,$B27+gen_uitsp_termijn&gt;=M$6),IF($B27+gen_uitsp_termijn&lt;MAX(Afschrijvingen!$C$6:$AB$6),gen_uitsp_termijn,MAX(Afschrijvingen!$C$6:$AB$6)-$B27))</f>
        <v>0</v>
      </c>
      <c r="N27" s="38" t="b">
        <f>IF(AND($B27&lt;N$6,$B27+gen_uitsp_termijn&gt;=N$6),IF($B27+gen_uitsp_termijn&lt;MAX(Afschrijvingen!$C$6:$AB$6),gen_uitsp_termijn,MAX(Afschrijvingen!$C$6:$AB$6)-$B27))</f>
        <v>0</v>
      </c>
      <c r="O27" s="38" t="b">
        <f>IF(AND($B27&lt;O$6,$B27+gen_uitsp_termijn&gt;=O$6),IF($B27+gen_uitsp_termijn&lt;MAX(Afschrijvingen!$C$6:$AB$6),gen_uitsp_termijn,MAX(Afschrijvingen!$C$6:$AB$6)-$B27))</f>
        <v>0</v>
      </c>
      <c r="P27" s="38" t="b">
        <f>IF(AND($B27&lt;P$6,$B27+gen_uitsp_termijn&gt;=P$6),IF($B27+gen_uitsp_termijn&lt;MAX(Afschrijvingen!$C$6:$AB$6),gen_uitsp_termijn,MAX(Afschrijvingen!$C$6:$AB$6)-$B27))</f>
        <v>0</v>
      </c>
      <c r="Q27" s="38" t="b">
        <f>IF(AND($B27&lt;Q$6,$B27+gen_uitsp_termijn&gt;=Q$6),IF($B27+gen_uitsp_termijn&lt;MAX(Afschrijvingen!$C$6:$AB$6),gen_uitsp_termijn,MAX(Afschrijvingen!$C$6:$AB$6)-$B27))</f>
        <v>0</v>
      </c>
      <c r="R27" s="38" t="b">
        <f>IF(AND($B27&lt;R$6,$B27+gen_uitsp_termijn&gt;=R$6),IF($B27+gen_uitsp_termijn&lt;MAX(Afschrijvingen!$C$6:$AB$6),gen_uitsp_termijn,MAX(Afschrijvingen!$C$6:$AB$6)-$B27))</f>
        <v>0</v>
      </c>
      <c r="S27" s="38">
        <f>IF(AND($B27&lt;S$6,$B27+gen_uitsp_termijn&gt;=S$6),IF($B27+gen_uitsp_termijn&lt;MAX(Afschrijvingen!$C$6:$AB$6),gen_uitsp_termijn,MAX(Afschrijvingen!$C$6:$AB$6)-$B27))</f>
        <v>10</v>
      </c>
      <c r="T27" s="38">
        <f>IF(AND($B27&lt;T$6,$B27+gen_uitsp_termijn&gt;=T$6),IF($B27+gen_uitsp_termijn&lt;MAX(Afschrijvingen!$C$6:$AB$6),gen_uitsp_termijn,MAX(Afschrijvingen!$C$6:$AB$6)-$B27))</f>
        <v>10</v>
      </c>
      <c r="U27" s="38">
        <f>IF(AND($B27&lt;U$6,$B27+gen_uitsp_termijn&gt;=U$6),IF($B27+gen_uitsp_termijn&lt;MAX(Afschrijvingen!$C$6:$AB$6),gen_uitsp_termijn,MAX(Afschrijvingen!$C$6:$AB$6)-$B27))</f>
        <v>10</v>
      </c>
      <c r="V27" s="38">
        <f>IF(AND($B27&lt;V$6,$B27+gen_uitsp_termijn&gt;=V$6),IF($B27+gen_uitsp_termijn&lt;MAX(Afschrijvingen!$C$6:$AB$6),gen_uitsp_termijn,MAX(Afschrijvingen!$C$6:$AB$6)-$B27))</f>
        <v>10</v>
      </c>
      <c r="W27" s="38">
        <f>IF(AND($B27&lt;W$6,$B27+gen_uitsp_termijn&gt;=W$6),IF($B27+gen_uitsp_termijn&lt;MAX(Afschrijvingen!$C$6:$AB$6),gen_uitsp_termijn,MAX(Afschrijvingen!$C$6:$AB$6)-$B27))</f>
        <v>10</v>
      </c>
      <c r="X27" s="38">
        <f>IF(AND($B27&lt;X$6,$B27+gen_uitsp_termijn&gt;=X$6),IF($B27+gen_uitsp_termijn&lt;MAX(Afschrijvingen!$C$6:$AB$6),gen_uitsp_termijn,MAX(Afschrijvingen!$C$6:$AB$6)-$B27))</f>
        <v>10</v>
      </c>
      <c r="Y27" s="38">
        <f>IF(AND($B27&lt;Y$6,$B27+gen_uitsp_termijn&gt;=Y$6),IF($B27+gen_uitsp_termijn&lt;MAX(Afschrijvingen!$C$6:$AB$6),gen_uitsp_termijn,MAX(Afschrijvingen!$C$6:$AB$6)-$B27))</f>
        <v>10</v>
      </c>
      <c r="Z27" s="38">
        <f>IF(AND($B27&lt;Z$6,$B27+gen_uitsp_termijn&gt;=Z$6),IF($B27+gen_uitsp_termijn&lt;MAX(Afschrijvingen!$C$6:$AB$6),gen_uitsp_termijn,MAX(Afschrijvingen!$C$6:$AB$6)-$B27))</f>
        <v>10</v>
      </c>
      <c r="AA27" s="38">
        <f>IF(AND($B27&lt;AA$6,$B27+gen_uitsp_termijn&gt;=AA$6),IF($B27+gen_uitsp_termijn&lt;MAX(Afschrijvingen!$C$6:$AB$6),gen_uitsp_termijn,MAX(Afschrijvingen!$C$6:$AB$6)-$B27))</f>
        <v>10</v>
      </c>
      <c r="AB27" s="38">
        <f>IF(AND($B27&lt;AB$6,$B27+gen_uitsp_termijn&gt;=AB$6),IF($B27+gen_uitsp_termijn&lt;MAX(Afschrijvingen!$C$6:$AB$6),gen_uitsp_termijn,MAX(Afschrijvingen!$C$6:$AB$6)-$B27))</f>
        <v>10</v>
      </c>
    </row>
    <row r="28" spans="1:28" x14ac:dyDescent="0.25">
      <c r="A28" s="21" t="s">
        <v>232</v>
      </c>
      <c r="B28" s="21">
        <v>16</v>
      </c>
      <c r="C28" s="38" t="b">
        <f>IF(AND($B28&lt;C$6,$B28+gen_uitsp_termijn&gt;=C$6),IF($B28+gen_uitsp_termijn&lt;MAX(Afschrijvingen!$C$6:$AB$6),gen_uitsp_termijn,MAX(Afschrijvingen!$C$6:$AB$6)-$B28))</f>
        <v>0</v>
      </c>
      <c r="D28" s="38" t="b">
        <f>IF(AND($B28&lt;D$6,$B28+gen_uitsp_termijn&gt;=D$6),IF($B28+gen_uitsp_termijn&lt;MAX(Afschrijvingen!$C$6:$AB$6),gen_uitsp_termijn,MAX(Afschrijvingen!$C$6:$AB$6)-$B28))</f>
        <v>0</v>
      </c>
      <c r="E28" s="38" t="b">
        <f>IF(AND($B28&lt;E$6,$B28+gen_uitsp_termijn&gt;=E$6),IF($B28+gen_uitsp_termijn&lt;MAX(Afschrijvingen!$C$6:$AB$6),gen_uitsp_termijn,MAX(Afschrijvingen!$C$6:$AB$6)-$B28))</f>
        <v>0</v>
      </c>
      <c r="F28" s="38" t="b">
        <f>IF(AND($B28&lt;F$6,$B28+gen_uitsp_termijn&gt;=F$6),IF($B28+gen_uitsp_termijn&lt;MAX(Afschrijvingen!$C$6:$AB$6),gen_uitsp_termijn,MAX(Afschrijvingen!$C$6:$AB$6)-$B28))</f>
        <v>0</v>
      </c>
      <c r="G28" s="38" t="b">
        <f>IF(AND($B28&lt;G$6,$B28+gen_uitsp_termijn&gt;=G$6),IF($B28+gen_uitsp_termijn&lt;MAX(Afschrijvingen!$C$6:$AB$6),gen_uitsp_termijn,MAX(Afschrijvingen!$C$6:$AB$6)-$B28))</f>
        <v>0</v>
      </c>
      <c r="H28" s="38" t="b">
        <f>IF(AND($B28&lt;H$6,$B28+gen_uitsp_termijn&gt;=H$6),IF($B28+gen_uitsp_termijn&lt;MAX(Afschrijvingen!$C$6:$AB$6),gen_uitsp_termijn,MAX(Afschrijvingen!$C$6:$AB$6)-$B28))</f>
        <v>0</v>
      </c>
      <c r="I28" s="38" t="b">
        <f>IF(AND($B28&lt;I$6,$B28+gen_uitsp_termijn&gt;=I$6),IF($B28+gen_uitsp_termijn&lt;MAX(Afschrijvingen!$C$6:$AB$6),gen_uitsp_termijn,MAX(Afschrijvingen!$C$6:$AB$6)-$B28))</f>
        <v>0</v>
      </c>
      <c r="J28" s="38" t="b">
        <f>IF(AND($B28&lt;J$6,$B28+gen_uitsp_termijn&gt;=J$6),IF($B28+gen_uitsp_termijn&lt;MAX(Afschrijvingen!$C$6:$AB$6),gen_uitsp_termijn,MAX(Afschrijvingen!$C$6:$AB$6)-$B28))</f>
        <v>0</v>
      </c>
      <c r="K28" s="38" t="b">
        <f>IF(AND($B28&lt;K$6,$B28+gen_uitsp_termijn&gt;=K$6),IF($B28+gen_uitsp_termijn&lt;MAX(Afschrijvingen!$C$6:$AB$6),gen_uitsp_termijn,MAX(Afschrijvingen!$C$6:$AB$6)-$B28))</f>
        <v>0</v>
      </c>
      <c r="L28" s="38" t="b">
        <f>IF(AND($B28&lt;L$6,$B28+gen_uitsp_termijn&gt;=L$6),IF($B28+gen_uitsp_termijn&lt;MAX(Afschrijvingen!$C$6:$AB$6),gen_uitsp_termijn,MAX(Afschrijvingen!$C$6:$AB$6)-$B28))</f>
        <v>0</v>
      </c>
      <c r="M28" s="38" t="b">
        <f>IF(AND($B28&lt;M$6,$B28+gen_uitsp_termijn&gt;=M$6),IF($B28+gen_uitsp_termijn&lt;MAX(Afschrijvingen!$C$6:$AB$6),gen_uitsp_termijn,MAX(Afschrijvingen!$C$6:$AB$6)-$B28))</f>
        <v>0</v>
      </c>
      <c r="N28" s="38" t="b">
        <f>IF(AND($B28&lt;N$6,$B28+gen_uitsp_termijn&gt;=N$6),IF($B28+gen_uitsp_termijn&lt;MAX(Afschrijvingen!$C$6:$AB$6),gen_uitsp_termijn,MAX(Afschrijvingen!$C$6:$AB$6)-$B28))</f>
        <v>0</v>
      </c>
      <c r="O28" s="38" t="b">
        <f>IF(AND($B28&lt;O$6,$B28+gen_uitsp_termijn&gt;=O$6),IF($B28+gen_uitsp_termijn&lt;MAX(Afschrijvingen!$C$6:$AB$6),gen_uitsp_termijn,MAX(Afschrijvingen!$C$6:$AB$6)-$B28))</f>
        <v>0</v>
      </c>
      <c r="P28" s="38" t="b">
        <f>IF(AND($B28&lt;P$6,$B28+gen_uitsp_termijn&gt;=P$6),IF($B28+gen_uitsp_termijn&lt;MAX(Afschrijvingen!$C$6:$AB$6),gen_uitsp_termijn,MAX(Afschrijvingen!$C$6:$AB$6)-$B28))</f>
        <v>0</v>
      </c>
      <c r="Q28" s="38" t="b">
        <f>IF(AND($B28&lt;Q$6,$B28+gen_uitsp_termijn&gt;=Q$6),IF($B28+gen_uitsp_termijn&lt;MAX(Afschrijvingen!$C$6:$AB$6),gen_uitsp_termijn,MAX(Afschrijvingen!$C$6:$AB$6)-$B28))</f>
        <v>0</v>
      </c>
      <c r="R28" s="38" t="b">
        <f>IF(AND($B28&lt;R$6,$B28+gen_uitsp_termijn&gt;=R$6),IF($B28+gen_uitsp_termijn&lt;MAX(Afschrijvingen!$C$6:$AB$6),gen_uitsp_termijn,MAX(Afschrijvingen!$C$6:$AB$6)-$B28))</f>
        <v>0</v>
      </c>
      <c r="S28" s="38" t="b">
        <f>IF(AND($B28&lt;S$6,$B28+gen_uitsp_termijn&gt;=S$6),IF($B28+gen_uitsp_termijn&lt;MAX(Afschrijvingen!$C$6:$AB$6),gen_uitsp_termijn,MAX(Afschrijvingen!$C$6:$AB$6)-$B28))</f>
        <v>0</v>
      </c>
      <c r="T28" s="38">
        <f>IF(AND($B28&lt;T$6,$B28+gen_uitsp_termijn&gt;=T$6),IF($B28+gen_uitsp_termijn&lt;MAX(Afschrijvingen!$C$6:$AB$6),gen_uitsp_termijn,MAX(Afschrijvingen!$C$6:$AB$6)-$B28))</f>
        <v>9</v>
      </c>
      <c r="U28" s="38">
        <f>IF(AND($B28&lt;U$6,$B28+gen_uitsp_termijn&gt;=U$6),IF($B28+gen_uitsp_termijn&lt;MAX(Afschrijvingen!$C$6:$AB$6),gen_uitsp_termijn,MAX(Afschrijvingen!$C$6:$AB$6)-$B28))</f>
        <v>9</v>
      </c>
      <c r="V28" s="38">
        <f>IF(AND($B28&lt;V$6,$B28+gen_uitsp_termijn&gt;=V$6),IF($B28+gen_uitsp_termijn&lt;MAX(Afschrijvingen!$C$6:$AB$6),gen_uitsp_termijn,MAX(Afschrijvingen!$C$6:$AB$6)-$B28))</f>
        <v>9</v>
      </c>
      <c r="W28" s="38">
        <f>IF(AND($B28&lt;W$6,$B28+gen_uitsp_termijn&gt;=W$6),IF($B28+gen_uitsp_termijn&lt;MAX(Afschrijvingen!$C$6:$AB$6),gen_uitsp_termijn,MAX(Afschrijvingen!$C$6:$AB$6)-$B28))</f>
        <v>9</v>
      </c>
      <c r="X28" s="38">
        <f>IF(AND($B28&lt;X$6,$B28+gen_uitsp_termijn&gt;=X$6),IF($B28+gen_uitsp_termijn&lt;MAX(Afschrijvingen!$C$6:$AB$6),gen_uitsp_termijn,MAX(Afschrijvingen!$C$6:$AB$6)-$B28))</f>
        <v>9</v>
      </c>
      <c r="Y28" s="38">
        <f>IF(AND($B28&lt;Y$6,$B28+gen_uitsp_termijn&gt;=Y$6),IF($B28+gen_uitsp_termijn&lt;MAX(Afschrijvingen!$C$6:$AB$6),gen_uitsp_termijn,MAX(Afschrijvingen!$C$6:$AB$6)-$B28))</f>
        <v>9</v>
      </c>
      <c r="Z28" s="38">
        <f>IF(AND($B28&lt;Z$6,$B28+gen_uitsp_termijn&gt;=Z$6),IF($B28+gen_uitsp_termijn&lt;MAX(Afschrijvingen!$C$6:$AB$6),gen_uitsp_termijn,MAX(Afschrijvingen!$C$6:$AB$6)-$B28))</f>
        <v>9</v>
      </c>
      <c r="AA28" s="38">
        <f>IF(AND($B28&lt;AA$6,$B28+gen_uitsp_termijn&gt;=AA$6),IF($B28+gen_uitsp_termijn&lt;MAX(Afschrijvingen!$C$6:$AB$6),gen_uitsp_termijn,MAX(Afschrijvingen!$C$6:$AB$6)-$B28))</f>
        <v>9</v>
      </c>
      <c r="AB28" s="38">
        <f>IF(AND($B28&lt;AB$6,$B28+gen_uitsp_termijn&gt;=AB$6),IF($B28+gen_uitsp_termijn&lt;MAX(Afschrijvingen!$C$6:$AB$6),gen_uitsp_termijn,MAX(Afschrijvingen!$C$6:$AB$6)-$B28))</f>
        <v>9</v>
      </c>
    </row>
    <row r="29" spans="1:28" x14ac:dyDescent="0.25">
      <c r="A29" s="21" t="s">
        <v>233</v>
      </c>
      <c r="B29" s="21">
        <v>17</v>
      </c>
      <c r="C29" s="38" t="b">
        <f>IF(AND($B29&lt;C$6,$B29+gen_uitsp_termijn&gt;=C$6),IF($B29+gen_uitsp_termijn&lt;MAX(Afschrijvingen!$C$6:$AB$6),gen_uitsp_termijn,MAX(Afschrijvingen!$C$6:$AB$6)-$B29))</f>
        <v>0</v>
      </c>
      <c r="D29" s="38" t="b">
        <f>IF(AND($B29&lt;D$6,$B29+gen_uitsp_termijn&gt;=D$6),IF($B29+gen_uitsp_termijn&lt;MAX(Afschrijvingen!$C$6:$AB$6),gen_uitsp_termijn,MAX(Afschrijvingen!$C$6:$AB$6)-$B29))</f>
        <v>0</v>
      </c>
      <c r="E29" s="38" t="b">
        <f>IF(AND($B29&lt;E$6,$B29+gen_uitsp_termijn&gt;=E$6),IF($B29+gen_uitsp_termijn&lt;MAX(Afschrijvingen!$C$6:$AB$6),gen_uitsp_termijn,MAX(Afschrijvingen!$C$6:$AB$6)-$B29))</f>
        <v>0</v>
      </c>
      <c r="F29" s="38" t="b">
        <f>IF(AND($B29&lt;F$6,$B29+gen_uitsp_termijn&gt;=F$6),IF($B29+gen_uitsp_termijn&lt;MAX(Afschrijvingen!$C$6:$AB$6),gen_uitsp_termijn,MAX(Afschrijvingen!$C$6:$AB$6)-$B29))</f>
        <v>0</v>
      </c>
      <c r="G29" s="38" t="b">
        <f>IF(AND($B29&lt;G$6,$B29+gen_uitsp_termijn&gt;=G$6),IF($B29+gen_uitsp_termijn&lt;MAX(Afschrijvingen!$C$6:$AB$6),gen_uitsp_termijn,MAX(Afschrijvingen!$C$6:$AB$6)-$B29))</f>
        <v>0</v>
      </c>
      <c r="H29" s="38" t="b">
        <f>IF(AND($B29&lt;H$6,$B29+gen_uitsp_termijn&gt;=H$6),IF($B29+gen_uitsp_termijn&lt;MAX(Afschrijvingen!$C$6:$AB$6),gen_uitsp_termijn,MAX(Afschrijvingen!$C$6:$AB$6)-$B29))</f>
        <v>0</v>
      </c>
      <c r="I29" s="38" t="b">
        <f>IF(AND($B29&lt;I$6,$B29+gen_uitsp_termijn&gt;=I$6),IF($B29+gen_uitsp_termijn&lt;MAX(Afschrijvingen!$C$6:$AB$6),gen_uitsp_termijn,MAX(Afschrijvingen!$C$6:$AB$6)-$B29))</f>
        <v>0</v>
      </c>
      <c r="J29" s="38" t="b">
        <f>IF(AND($B29&lt;J$6,$B29+gen_uitsp_termijn&gt;=J$6),IF($B29+gen_uitsp_termijn&lt;MAX(Afschrijvingen!$C$6:$AB$6),gen_uitsp_termijn,MAX(Afschrijvingen!$C$6:$AB$6)-$B29))</f>
        <v>0</v>
      </c>
      <c r="K29" s="38" t="b">
        <f>IF(AND($B29&lt;K$6,$B29+gen_uitsp_termijn&gt;=K$6),IF($B29+gen_uitsp_termijn&lt;MAX(Afschrijvingen!$C$6:$AB$6),gen_uitsp_termijn,MAX(Afschrijvingen!$C$6:$AB$6)-$B29))</f>
        <v>0</v>
      </c>
      <c r="L29" s="38" t="b">
        <f>IF(AND($B29&lt;L$6,$B29+gen_uitsp_termijn&gt;=L$6),IF($B29+gen_uitsp_termijn&lt;MAX(Afschrijvingen!$C$6:$AB$6),gen_uitsp_termijn,MAX(Afschrijvingen!$C$6:$AB$6)-$B29))</f>
        <v>0</v>
      </c>
      <c r="M29" s="38" t="b">
        <f>IF(AND($B29&lt;M$6,$B29+gen_uitsp_termijn&gt;=M$6),IF($B29+gen_uitsp_termijn&lt;MAX(Afschrijvingen!$C$6:$AB$6),gen_uitsp_termijn,MAX(Afschrijvingen!$C$6:$AB$6)-$B29))</f>
        <v>0</v>
      </c>
      <c r="N29" s="38" t="b">
        <f>IF(AND($B29&lt;N$6,$B29+gen_uitsp_termijn&gt;=N$6),IF($B29+gen_uitsp_termijn&lt;MAX(Afschrijvingen!$C$6:$AB$6),gen_uitsp_termijn,MAX(Afschrijvingen!$C$6:$AB$6)-$B29))</f>
        <v>0</v>
      </c>
      <c r="O29" s="38" t="b">
        <f>IF(AND($B29&lt;O$6,$B29+gen_uitsp_termijn&gt;=O$6),IF($B29+gen_uitsp_termijn&lt;MAX(Afschrijvingen!$C$6:$AB$6),gen_uitsp_termijn,MAX(Afschrijvingen!$C$6:$AB$6)-$B29))</f>
        <v>0</v>
      </c>
      <c r="P29" s="38" t="b">
        <f>IF(AND($B29&lt;P$6,$B29+gen_uitsp_termijn&gt;=P$6),IF($B29+gen_uitsp_termijn&lt;MAX(Afschrijvingen!$C$6:$AB$6),gen_uitsp_termijn,MAX(Afschrijvingen!$C$6:$AB$6)-$B29))</f>
        <v>0</v>
      </c>
      <c r="Q29" s="38" t="b">
        <f>IF(AND($B29&lt;Q$6,$B29+gen_uitsp_termijn&gt;=Q$6),IF($B29+gen_uitsp_termijn&lt;MAX(Afschrijvingen!$C$6:$AB$6),gen_uitsp_termijn,MAX(Afschrijvingen!$C$6:$AB$6)-$B29))</f>
        <v>0</v>
      </c>
      <c r="R29" s="38" t="b">
        <f>IF(AND($B29&lt;R$6,$B29+gen_uitsp_termijn&gt;=R$6),IF($B29+gen_uitsp_termijn&lt;MAX(Afschrijvingen!$C$6:$AB$6),gen_uitsp_termijn,MAX(Afschrijvingen!$C$6:$AB$6)-$B29))</f>
        <v>0</v>
      </c>
      <c r="S29" s="38" t="b">
        <f>IF(AND($B29&lt;S$6,$B29+gen_uitsp_termijn&gt;=S$6),IF($B29+gen_uitsp_termijn&lt;MAX(Afschrijvingen!$C$6:$AB$6),gen_uitsp_termijn,MAX(Afschrijvingen!$C$6:$AB$6)-$B29))</f>
        <v>0</v>
      </c>
      <c r="T29" s="38" t="b">
        <f>IF(AND($B29&lt;T$6,$B29+gen_uitsp_termijn&gt;=T$6),IF($B29+gen_uitsp_termijn&lt;MAX(Afschrijvingen!$C$6:$AB$6),gen_uitsp_termijn,MAX(Afschrijvingen!$C$6:$AB$6)-$B29))</f>
        <v>0</v>
      </c>
      <c r="U29" s="38">
        <f>IF(AND($B29&lt;U$6,$B29+gen_uitsp_termijn&gt;=U$6),IF($B29+gen_uitsp_termijn&lt;MAX(Afschrijvingen!$C$6:$AB$6),gen_uitsp_termijn,MAX(Afschrijvingen!$C$6:$AB$6)-$B29))</f>
        <v>8</v>
      </c>
      <c r="V29" s="38">
        <f>IF(AND($B29&lt;V$6,$B29+gen_uitsp_termijn&gt;=V$6),IF($B29+gen_uitsp_termijn&lt;MAX(Afschrijvingen!$C$6:$AB$6),gen_uitsp_termijn,MAX(Afschrijvingen!$C$6:$AB$6)-$B29))</f>
        <v>8</v>
      </c>
      <c r="W29" s="38">
        <f>IF(AND($B29&lt;W$6,$B29+gen_uitsp_termijn&gt;=W$6),IF($B29+gen_uitsp_termijn&lt;MAX(Afschrijvingen!$C$6:$AB$6),gen_uitsp_termijn,MAX(Afschrijvingen!$C$6:$AB$6)-$B29))</f>
        <v>8</v>
      </c>
      <c r="X29" s="38">
        <f>IF(AND($B29&lt;X$6,$B29+gen_uitsp_termijn&gt;=X$6),IF($B29+gen_uitsp_termijn&lt;MAX(Afschrijvingen!$C$6:$AB$6),gen_uitsp_termijn,MAX(Afschrijvingen!$C$6:$AB$6)-$B29))</f>
        <v>8</v>
      </c>
      <c r="Y29" s="38">
        <f>IF(AND($B29&lt;Y$6,$B29+gen_uitsp_termijn&gt;=Y$6),IF($B29+gen_uitsp_termijn&lt;MAX(Afschrijvingen!$C$6:$AB$6),gen_uitsp_termijn,MAX(Afschrijvingen!$C$6:$AB$6)-$B29))</f>
        <v>8</v>
      </c>
      <c r="Z29" s="38">
        <f>IF(AND($B29&lt;Z$6,$B29+gen_uitsp_termijn&gt;=Z$6),IF($B29+gen_uitsp_termijn&lt;MAX(Afschrijvingen!$C$6:$AB$6),gen_uitsp_termijn,MAX(Afschrijvingen!$C$6:$AB$6)-$B29))</f>
        <v>8</v>
      </c>
      <c r="AA29" s="38">
        <f>IF(AND($B29&lt;AA$6,$B29+gen_uitsp_termijn&gt;=AA$6),IF($B29+gen_uitsp_termijn&lt;MAX(Afschrijvingen!$C$6:$AB$6),gen_uitsp_termijn,MAX(Afschrijvingen!$C$6:$AB$6)-$B29))</f>
        <v>8</v>
      </c>
      <c r="AB29" s="38">
        <f>IF(AND($B29&lt;AB$6,$B29+gen_uitsp_termijn&gt;=AB$6),IF($B29+gen_uitsp_termijn&lt;MAX(Afschrijvingen!$C$6:$AB$6),gen_uitsp_termijn,MAX(Afschrijvingen!$C$6:$AB$6)-$B29))</f>
        <v>8</v>
      </c>
    </row>
    <row r="30" spans="1:28" x14ac:dyDescent="0.25">
      <c r="A30" s="21" t="s">
        <v>234</v>
      </c>
      <c r="B30" s="21">
        <v>18</v>
      </c>
      <c r="C30" s="38" t="b">
        <f>IF(AND($B30&lt;C$6,$B30+gen_uitsp_termijn&gt;=C$6),IF($B30+gen_uitsp_termijn&lt;MAX(Afschrijvingen!$C$6:$AB$6),gen_uitsp_termijn,MAX(Afschrijvingen!$C$6:$AB$6)-$B30))</f>
        <v>0</v>
      </c>
      <c r="D30" s="38" t="b">
        <f>IF(AND($B30&lt;D$6,$B30+gen_uitsp_termijn&gt;=D$6),IF($B30+gen_uitsp_termijn&lt;MAX(Afschrijvingen!$C$6:$AB$6),gen_uitsp_termijn,MAX(Afschrijvingen!$C$6:$AB$6)-$B30))</f>
        <v>0</v>
      </c>
      <c r="E30" s="38" t="b">
        <f>IF(AND($B30&lt;E$6,$B30+gen_uitsp_termijn&gt;=E$6),IF($B30+gen_uitsp_termijn&lt;MAX(Afschrijvingen!$C$6:$AB$6),gen_uitsp_termijn,MAX(Afschrijvingen!$C$6:$AB$6)-$B30))</f>
        <v>0</v>
      </c>
      <c r="F30" s="38" t="b">
        <f>IF(AND($B30&lt;F$6,$B30+gen_uitsp_termijn&gt;=F$6),IF($B30+gen_uitsp_termijn&lt;MAX(Afschrijvingen!$C$6:$AB$6),gen_uitsp_termijn,MAX(Afschrijvingen!$C$6:$AB$6)-$B30))</f>
        <v>0</v>
      </c>
      <c r="G30" s="38" t="b">
        <f>IF(AND($B30&lt;G$6,$B30+gen_uitsp_termijn&gt;=G$6),IF($B30+gen_uitsp_termijn&lt;MAX(Afschrijvingen!$C$6:$AB$6),gen_uitsp_termijn,MAX(Afschrijvingen!$C$6:$AB$6)-$B30))</f>
        <v>0</v>
      </c>
      <c r="H30" s="38" t="b">
        <f>IF(AND($B30&lt;H$6,$B30+gen_uitsp_termijn&gt;=H$6),IF($B30+gen_uitsp_termijn&lt;MAX(Afschrijvingen!$C$6:$AB$6),gen_uitsp_termijn,MAX(Afschrijvingen!$C$6:$AB$6)-$B30))</f>
        <v>0</v>
      </c>
      <c r="I30" s="38" t="b">
        <f>IF(AND($B30&lt;I$6,$B30+gen_uitsp_termijn&gt;=I$6),IF($B30+gen_uitsp_termijn&lt;MAX(Afschrijvingen!$C$6:$AB$6),gen_uitsp_termijn,MAX(Afschrijvingen!$C$6:$AB$6)-$B30))</f>
        <v>0</v>
      </c>
      <c r="J30" s="38" t="b">
        <f>IF(AND($B30&lt;J$6,$B30+gen_uitsp_termijn&gt;=J$6),IF($B30+gen_uitsp_termijn&lt;MAX(Afschrijvingen!$C$6:$AB$6),gen_uitsp_termijn,MAX(Afschrijvingen!$C$6:$AB$6)-$B30))</f>
        <v>0</v>
      </c>
      <c r="K30" s="38" t="b">
        <f>IF(AND($B30&lt;K$6,$B30+gen_uitsp_termijn&gt;=K$6),IF($B30+gen_uitsp_termijn&lt;MAX(Afschrijvingen!$C$6:$AB$6),gen_uitsp_termijn,MAX(Afschrijvingen!$C$6:$AB$6)-$B30))</f>
        <v>0</v>
      </c>
      <c r="L30" s="38" t="b">
        <f>IF(AND($B30&lt;L$6,$B30+gen_uitsp_termijn&gt;=L$6),IF($B30+gen_uitsp_termijn&lt;MAX(Afschrijvingen!$C$6:$AB$6),gen_uitsp_termijn,MAX(Afschrijvingen!$C$6:$AB$6)-$B30))</f>
        <v>0</v>
      </c>
      <c r="M30" s="38" t="b">
        <f>IF(AND($B30&lt;M$6,$B30+gen_uitsp_termijn&gt;=M$6),IF($B30+gen_uitsp_termijn&lt;MAX(Afschrijvingen!$C$6:$AB$6),gen_uitsp_termijn,MAX(Afschrijvingen!$C$6:$AB$6)-$B30))</f>
        <v>0</v>
      </c>
      <c r="N30" s="38" t="b">
        <f>IF(AND($B30&lt;N$6,$B30+gen_uitsp_termijn&gt;=N$6),IF($B30+gen_uitsp_termijn&lt;MAX(Afschrijvingen!$C$6:$AB$6),gen_uitsp_termijn,MAX(Afschrijvingen!$C$6:$AB$6)-$B30))</f>
        <v>0</v>
      </c>
      <c r="O30" s="38" t="b">
        <f>IF(AND($B30&lt;O$6,$B30+gen_uitsp_termijn&gt;=O$6),IF($B30+gen_uitsp_termijn&lt;MAX(Afschrijvingen!$C$6:$AB$6),gen_uitsp_termijn,MAX(Afschrijvingen!$C$6:$AB$6)-$B30))</f>
        <v>0</v>
      </c>
      <c r="P30" s="38" t="b">
        <f>IF(AND($B30&lt;P$6,$B30+gen_uitsp_termijn&gt;=P$6),IF($B30+gen_uitsp_termijn&lt;MAX(Afschrijvingen!$C$6:$AB$6),gen_uitsp_termijn,MAX(Afschrijvingen!$C$6:$AB$6)-$B30))</f>
        <v>0</v>
      </c>
      <c r="Q30" s="38" t="b">
        <f>IF(AND($B30&lt;Q$6,$B30+gen_uitsp_termijn&gt;=Q$6),IF($B30+gen_uitsp_termijn&lt;MAX(Afschrijvingen!$C$6:$AB$6),gen_uitsp_termijn,MAX(Afschrijvingen!$C$6:$AB$6)-$B30))</f>
        <v>0</v>
      </c>
      <c r="R30" s="38" t="b">
        <f>IF(AND($B30&lt;R$6,$B30+gen_uitsp_termijn&gt;=R$6),IF($B30+gen_uitsp_termijn&lt;MAX(Afschrijvingen!$C$6:$AB$6),gen_uitsp_termijn,MAX(Afschrijvingen!$C$6:$AB$6)-$B30))</f>
        <v>0</v>
      </c>
      <c r="S30" s="38" t="b">
        <f>IF(AND($B30&lt;S$6,$B30+gen_uitsp_termijn&gt;=S$6),IF($B30+gen_uitsp_termijn&lt;MAX(Afschrijvingen!$C$6:$AB$6),gen_uitsp_termijn,MAX(Afschrijvingen!$C$6:$AB$6)-$B30))</f>
        <v>0</v>
      </c>
      <c r="T30" s="38" t="b">
        <f>IF(AND($B30&lt;T$6,$B30+gen_uitsp_termijn&gt;=T$6),IF($B30+gen_uitsp_termijn&lt;MAX(Afschrijvingen!$C$6:$AB$6),gen_uitsp_termijn,MAX(Afschrijvingen!$C$6:$AB$6)-$B30))</f>
        <v>0</v>
      </c>
      <c r="U30" s="38" t="b">
        <f>IF(AND($B30&lt;U$6,$B30+gen_uitsp_termijn&gt;=U$6),IF($B30+gen_uitsp_termijn&lt;MAX(Afschrijvingen!$C$6:$AB$6),gen_uitsp_termijn,MAX(Afschrijvingen!$C$6:$AB$6)-$B30))</f>
        <v>0</v>
      </c>
      <c r="V30" s="38">
        <f>IF(AND($B30&lt;V$6,$B30+gen_uitsp_termijn&gt;=V$6),IF($B30+gen_uitsp_termijn&lt;MAX(Afschrijvingen!$C$6:$AB$6),gen_uitsp_termijn,MAX(Afschrijvingen!$C$6:$AB$6)-$B30))</f>
        <v>7</v>
      </c>
      <c r="W30" s="38">
        <f>IF(AND($B30&lt;W$6,$B30+gen_uitsp_termijn&gt;=W$6),IF($B30+gen_uitsp_termijn&lt;MAX(Afschrijvingen!$C$6:$AB$6),gen_uitsp_termijn,MAX(Afschrijvingen!$C$6:$AB$6)-$B30))</f>
        <v>7</v>
      </c>
      <c r="X30" s="38">
        <f>IF(AND($B30&lt;X$6,$B30+gen_uitsp_termijn&gt;=X$6),IF($B30+gen_uitsp_termijn&lt;MAX(Afschrijvingen!$C$6:$AB$6),gen_uitsp_termijn,MAX(Afschrijvingen!$C$6:$AB$6)-$B30))</f>
        <v>7</v>
      </c>
      <c r="Y30" s="38">
        <f>IF(AND($B30&lt;Y$6,$B30+gen_uitsp_termijn&gt;=Y$6),IF($B30+gen_uitsp_termijn&lt;MAX(Afschrijvingen!$C$6:$AB$6),gen_uitsp_termijn,MAX(Afschrijvingen!$C$6:$AB$6)-$B30))</f>
        <v>7</v>
      </c>
      <c r="Z30" s="38">
        <f>IF(AND($B30&lt;Z$6,$B30+gen_uitsp_termijn&gt;=Z$6),IF($B30+gen_uitsp_termijn&lt;MAX(Afschrijvingen!$C$6:$AB$6),gen_uitsp_termijn,MAX(Afschrijvingen!$C$6:$AB$6)-$B30))</f>
        <v>7</v>
      </c>
      <c r="AA30" s="38">
        <f>IF(AND($B30&lt;AA$6,$B30+gen_uitsp_termijn&gt;=AA$6),IF($B30+gen_uitsp_termijn&lt;MAX(Afschrijvingen!$C$6:$AB$6),gen_uitsp_termijn,MAX(Afschrijvingen!$C$6:$AB$6)-$B30))</f>
        <v>7</v>
      </c>
      <c r="AB30" s="38">
        <f>IF(AND($B30&lt;AB$6,$B30+gen_uitsp_termijn&gt;=AB$6),IF($B30+gen_uitsp_termijn&lt;MAX(Afschrijvingen!$C$6:$AB$6),gen_uitsp_termijn,MAX(Afschrijvingen!$C$6:$AB$6)-$B30))</f>
        <v>7</v>
      </c>
    </row>
    <row r="31" spans="1:28" x14ac:dyDescent="0.25">
      <c r="A31" s="21" t="s">
        <v>235</v>
      </c>
      <c r="B31" s="21">
        <v>19</v>
      </c>
      <c r="C31" s="38" t="b">
        <f>IF(AND($B31&lt;C$6,$B31+gen_uitsp_termijn&gt;=C$6),IF($B31+gen_uitsp_termijn&lt;MAX(Afschrijvingen!$C$6:$AB$6),gen_uitsp_termijn,MAX(Afschrijvingen!$C$6:$AB$6)-$B31))</f>
        <v>0</v>
      </c>
      <c r="D31" s="38" t="b">
        <f>IF(AND($B31&lt;D$6,$B31+gen_uitsp_termijn&gt;=D$6),IF($B31+gen_uitsp_termijn&lt;MAX(Afschrijvingen!$C$6:$AB$6),gen_uitsp_termijn,MAX(Afschrijvingen!$C$6:$AB$6)-$B31))</f>
        <v>0</v>
      </c>
      <c r="E31" s="38" t="b">
        <f>IF(AND($B31&lt;E$6,$B31+gen_uitsp_termijn&gt;=E$6),IF($B31+gen_uitsp_termijn&lt;MAX(Afschrijvingen!$C$6:$AB$6),gen_uitsp_termijn,MAX(Afschrijvingen!$C$6:$AB$6)-$B31))</f>
        <v>0</v>
      </c>
      <c r="F31" s="38" t="b">
        <f>IF(AND($B31&lt;F$6,$B31+gen_uitsp_termijn&gt;=F$6),IF($B31+gen_uitsp_termijn&lt;MAX(Afschrijvingen!$C$6:$AB$6),gen_uitsp_termijn,MAX(Afschrijvingen!$C$6:$AB$6)-$B31))</f>
        <v>0</v>
      </c>
      <c r="G31" s="38" t="b">
        <f>IF(AND($B31&lt;G$6,$B31+gen_uitsp_termijn&gt;=G$6),IF($B31+gen_uitsp_termijn&lt;MAX(Afschrijvingen!$C$6:$AB$6),gen_uitsp_termijn,MAX(Afschrijvingen!$C$6:$AB$6)-$B31))</f>
        <v>0</v>
      </c>
      <c r="H31" s="38" t="b">
        <f>IF(AND($B31&lt;H$6,$B31+gen_uitsp_termijn&gt;=H$6),IF($B31+gen_uitsp_termijn&lt;MAX(Afschrijvingen!$C$6:$AB$6),gen_uitsp_termijn,MAX(Afschrijvingen!$C$6:$AB$6)-$B31))</f>
        <v>0</v>
      </c>
      <c r="I31" s="38" t="b">
        <f>IF(AND($B31&lt;I$6,$B31+gen_uitsp_termijn&gt;=I$6),IF($B31+gen_uitsp_termijn&lt;MAX(Afschrijvingen!$C$6:$AB$6),gen_uitsp_termijn,MAX(Afschrijvingen!$C$6:$AB$6)-$B31))</f>
        <v>0</v>
      </c>
      <c r="J31" s="38" t="b">
        <f>IF(AND($B31&lt;J$6,$B31+gen_uitsp_termijn&gt;=J$6),IF($B31+gen_uitsp_termijn&lt;MAX(Afschrijvingen!$C$6:$AB$6),gen_uitsp_termijn,MAX(Afschrijvingen!$C$6:$AB$6)-$B31))</f>
        <v>0</v>
      </c>
      <c r="K31" s="38" t="b">
        <f>IF(AND($B31&lt;K$6,$B31+gen_uitsp_termijn&gt;=K$6),IF($B31+gen_uitsp_termijn&lt;MAX(Afschrijvingen!$C$6:$AB$6),gen_uitsp_termijn,MAX(Afschrijvingen!$C$6:$AB$6)-$B31))</f>
        <v>0</v>
      </c>
      <c r="L31" s="38" t="b">
        <f>IF(AND($B31&lt;L$6,$B31+gen_uitsp_termijn&gt;=L$6),IF($B31+gen_uitsp_termijn&lt;MAX(Afschrijvingen!$C$6:$AB$6),gen_uitsp_termijn,MAX(Afschrijvingen!$C$6:$AB$6)-$B31))</f>
        <v>0</v>
      </c>
      <c r="M31" s="38" t="b">
        <f>IF(AND($B31&lt;M$6,$B31+gen_uitsp_termijn&gt;=M$6),IF($B31+gen_uitsp_termijn&lt;MAX(Afschrijvingen!$C$6:$AB$6),gen_uitsp_termijn,MAX(Afschrijvingen!$C$6:$AB$6)-$B31))</f>
        <v>0</v>
      </c>
      <c r="N31" s="38" t="b">
        <f>IF(AND($B31&lt;N$6,$B31+gen_uitsp_termijn&gt;=N$6),IF($B31+gen_uitsp_termijn&lt;MAX(Afschrijvingen!$C$6:$AB$6),gen_uitsp_termijn,MAX(Afschrijvingen!$C$6:$AB$6)-$B31))</f>
        <v>0</v>
      </c>
      <c r="O31" s="38" t="b">
        <f>IF(AND($B31&lt;O$6,$B31+gen_uitsp_termijn&gt;=O$6),IF($B31+gen_uitsp_termijn&lt;MAX(Afschrijvingen!$C$6:$AB$6),gen_uitsp_termijn,MAX(Afschrijvingen!$C$6:$AB$6)-$B31))</f>
        <v>0</v>
      </c>
      <c r="P31" s="38" t="b">
        <f>IF(AND($B31&lt;P$6,$B31+gen_uitsp_termijn&gt;=P$6),IF($B31+gen_uitsp_termijn&lt;MAX(Afschrijvingen!$C$6:$AB$6),gen_uitsp_termijn,MAX(Afschrijvingen!$C$6:$AB$6)-$B31))</f>
        <v>0</v>
      </c>
      <c r="Q31" s="38" t="b">
        <f>IF(AND($B31&lt;Q$6,$B31+gen_uitsp_termijn&gt;=Q$6),IF($B31+gen_uitsp_termijn&lt;MAX(Afschrijvingen!$C$6:$AB$6),gen_uitsp_termijn,MAX(Afschrijvingen!$C$6:$AB$6)-$B31))</f>
        <v>0</v>
      </c>
      <c r="R31" s="38" t="b">
        <f>IF(AND($B31&lt;R$6,$B31+gen_uitsp_termijn&gt;=R$6),IF($B31+gen_uitsp_termijn&lt;MAX(Afschrijvingen!$C$6:$AB$6),gen_uitsp_termijn,MAX(Afschrijvingen!$C$6:$AB$6)-$B31))</f>
        <v>0</v>
      </c>
      <c r="S31" s="38" t="b">
        <f>IF(AND($B31&lt;S$6,$B31+gen_uitsp_termijn&gt;=S$6),IF($B31+gen_uitsp_termijn&lt;MAX(Afschrijvingen!$C$6:$AB$6),gen_uitsp_termijn,MAX(Afschrijvingen!$C$6:$AB$6)-$B31))</f>
        <v>0</v>
      </c>
      <c r="T31" s="38" t="b">
        <f>IF(AND($B31&lt;T$6,$B31+gen_uitsp_termijn&gt;=T$6),IF($B31+gen_uitsp_termijn&lt;MAX(Afschrijvingen!$C$6:$AB$6),gen_uitsp_termijn,MAX(Afschrijvingen!$C$6:$AB$6)-$B31))</f>
        <v>0</v>
      </c>
      <c r="U31" s="38" t="b">
        <f>IF(AND($B31&lt;U$6,$B31+gen_uitsp_termijn&gt;=U$6),IF($B31+gen_uitsp_termijn&lt;MAX(Afschrijvingen!$C$6:$AB$6),gen_uitsp_termijn,MAX(Afschrijvingen!$C$6:$AB$6)-$B31))</f>
        <v>0</v>
      </c>
      <c r="V31" s="38" t="b">
        <f>IF(AND($B31&lt;V$6,$B31+gen_uitsp_termijn&gt;=V$6),IF($B31+gen_uitsp_termijn&lt;MAX(Afschrijvingen!$C$6:$AB$6),gen_uitsp_termijn,MAX(Afschrijvingen!$C$6:$AB$6)-$B31))</f>
        <v>0</v>
      </c>
      <c r="W31" s="38">
        <f>IF(AND($B31&lt;W$6,$B31+gen_uitsp_termijn&gt;=W$6),IF($B31+gen_uitsp_termijn&lt;MAX(Afschrijvingen!$C$6:$AB$6),gen_uitsp_termijn,MAX(Afschrijvingen!$C$6:$AB$6)-$B31))</f>
        <v>6</v>
      </c>
      <c r="X31" s="38">
        <f>IF(AND($B31&lt;X$6,$B31+gen_uitsp_termijn&gt;=X$6),IF($B31+gen_uitsp_termijn&lt;MAX(Afschrijvingen!$C$6:$AB$6),gen_uitsp_termijn,MAX(Afschrijvingen!$C$6:$AB$6)-$B31))</f>
        <v>6</v>
      </c>
      <c r="Y31" s="38">
        <f>IF(AND($B31&lt;Y$6,$B31+gen_uitsp_termijn&gt;=Y$6),IF($B31+gen_uitsp_termijn&lt;MAX(Afschrijvingen!$C$6:$AB$6),gen_uitsp_termijn,MAX(Afschrijvingen!$C$6:$AB$6)-$B31))</f>
        <v>6</v>
      </c>
      <c r="Z31" s="38">
        <f>IF(AND($B31&lt;Z$6,$B31+gen_uitsp_termijn&gt;=Z$6),IF($B31+gen_uitsp_termijn&lt;MAX(Afschrijvingen!$C$6:$AB$6),gen_uitsp_termijn,MAX(Afschrijvingen!$C$6:$AB$6)-$B31))</f>
        <v>6</v>
      </c>
      <c r="AA31" s="38">
        <f>IF(AND($B31&lt;AA$6,$B31+gen_uitsp_termijn&gt;=AA$6),IF($B31+gen_uitsp_termijn&lt;MAX(Afschrijvingen!$C$6:$AB$6),gen_uitsp_termijn,MAX(Afschrijvingen!$C$6:$AB$6)-$B31))</f>
        <v>6</v>
      </c>
      <c r="AB31" s="38">
        <f>IF(AND($B31&lt;AB$6,$B31+gen_uitsp_termijn&gt;=AB$6),IF($B31+gen_uitsp_termijn&lt;MAX(Afschrijvingen!$C$6:$AB$6),gen_uitsp_termijn,MAX(Afschrijvingen!$C$6:$AB$6)-$B31))</f>
        <v>6</v>
      </c>
    </row>
    <row r="32" spans="1:28" x14ac:dyDescent="0.25">
      <c r="A32" s="21" t="s">
        <v>236</v>
      </c>
      <c r="B32" s="21">
        <v>20</v>
      </c>
      <c r="C32" s="38" t="b">
        <f>IF(AND($B32&lt;C$6,$B32+gen_uitsp_termijn&gt;=C$6),IF($B32+gen_uitsp_termijn&lt;MAX(Afschrijvingen!$C$6:$AB$6),gen_uitsp_termijn,MAX(Afschrijvingen!$C$6:$AB$6)-$B32))</f>
        <v>0</v>
      </c>
      <c r="D32" s="38" t="b">
        <f>IF(AND($B32&lt;D$6,$B32+gen_uitsp_termijn&gt;=D$6),IF($B32+gen_uitsp_termijn&lt;MAX(Afschrijvingen!$C$6:$AB$6),gen_uitsp_termijn,MAX(Afschrijvingen!$C$6:$AB$6)-$B32))</f>
        <v>0</v>
      </c>
      <c r="E32" s="38" t="b">
        <f>IF(AND($B32&lt;E$6,$B32+gen_uitsp_termijn&gt;=E$6),IF($B32+gen_uitsp_termijn&lt;MAX(Afschrijvingen!$C$6:$AB$6),gen_uitsp_termijn,MAX(Afschrijvingen!$C$6:$AB$6)-$B32))</f>
        <v>0</v>
      </c>
      <c r="F32" s="38" t="b">
        <f>IF(AND($B32&lt;F$6,$B32+gen_uitsp_termijn&gt;=F$6),IF($B32+gen_uitsp_termijn&lt;MAX(Afschrijvingen!$C$6:$AB$6),gen_uitsp_termijn,MAX(Afschrijvingen!$C$6:$AB$6)-$B32))</f>
        <v>0</v>
      </c>
      <c r="G32" s="38" t="b">
        <f>IF(AND($B32&lt;G$6,$B32+gen_uitsp_termijn&gt;=G$6),IF($B32+gen_uitsp_termijn&lt;MAX(Afschrijvingen!$C$6:$AB$6),gen_uitsp_termijn,MAX(Afschrijvingen!$C$6:$AB$6)-$B32))</f>
        <v>0</v>
      </c>
      <c r="H32" s="38" t="b">
        <f>IF(AND($B32&lt;H$6,$B32+gen_uitsp_termijn&gt;=H$6),IF($B32+gen_uitsp_termijn&lt;MAX(Afschrijvingen!$C$6:$AB$6),gen_uitsp_termijn,MAX(Afschrijvingen!$C$6:$AB$6)-$B32))</f>
        <v>0</v>
      </c>
      <c r="I32" s="38" t="b">
        <f>IF(AND($B32&lt;I$6,$B32+gen_uitsp_termijn&gt;=I$6),IF($B32+gen_uitsp_termijn&lt;MAX(Afschrijvingen!$C$6:$AB$6),gen_uitsp_termijn,MAX(Afschrijvingen!$C$6:$AB$6)-$B32))</f>
        <v>0</v>
      </c>
      <c r="J32" s="38" t="b">
        <f>IF(AND($B32&lt;J$6,$B32+gen_uitsp_termijn&gt;=J$6),IF($B32+gen_uitsp_termijn&lt;MAX(Afschrijvingen!$C$6:$AB$6),gen_uitsp_termijn,MAX(Afschrijvingen!$C$6:$AB$6)-$B32))</f>
        <v>0</v>
      </c>
      <c r="K32" s="38" t="b">
        <f>IF(AND($B32&lt;K$6,$B32+gen_uitsp_termijn&gt;=K$6),IF($B32+gen_uitsp_termijn&lt;MAX(Afschrijvingen!$C$6:$AB$6),gen_uitsp_termijn,MAX(Afschrijvingen!$C$6:$AB$6)-$B32))</f>
        <v>0</v>
      </c>
      <c r="L32" s="38" t="b">
        <f>IF(AND($B32&lt;L$6,$B32+gen_uitsp_termijn&gt;=L$6),IF($B32+gen_uitsp_termijn&lt;MAX(Afschrijvingen!$C$6:$AB$6),gen_uitsp_termijn,MAX(Afschrijvingen!$C$6:$AB$6)-$B32))</f>
        <v>0</v>
      </c>
      <c r="M32" s="38" t="b">
        <f>IF(AND($B32&lt;M$6,$B32+gen_uitsp_termijn&gt;=M$6),IF($B32+gen_uitsp_termijn&lt;MAX(Afschrijvingen!$C$6:$AB$6),gen_uitsp_termijn,MAX(Afschrijvingen!$C$6:$AB$6)-$B32))</f>
        <v>0</v>
      </c>
      <c r="N32" s="38" t="b">
        <f>IF(AND($B32&lt;N$6,$B32+gen_uitsp_termijn&gt;=N$6),IF($B32+gen_uitsp_termijn&lt;MAX(Afschrijvingen!$C$6:$AB$6),gen_uitsp_termijn,MAX(Afschrijvingen!$C$6:$AB$6)-$B32))</f>
        <v>0</v>
      </c>
      <c r="O32" s="38" t="b">
        <f>IF(AND($B32&lt;O$6,$B32+gen_uitsp_termijn&gt;=O$6),IF($B32+gen_uitsp_termijn&lt;MAX(Afschrijvingen!$C$6:$AB$6),gen_uitsp_termijn,MAX(Afschrijvingen!$C$6:$AB$6)-$B32))</f>
        <v>0</v>
      </c>
      <c r="P32" s="38" t="b">
        <f>IF(AND($B32&lt;P$6,$B32+gen_uitsp_termijn&gt;=P$6),IF($B32+gen_uitsp_termijn&lt;MAX(Afschrijvingen!$C$6:$AB$6),gen_uitsp_termijn,MAX(Afschrijvingen!$C$6:$AB$6)-$B32))</f>
        <v>0</v>
      </c>
      <c r="Q32" s="38" t="b">
        <f>IF(AND($B32&lt;Q$6,$B32+gen_uitsp_termijn&gt;=Q$6),IF($B32+gen_uitsp_termijn&lt;MAX(Afschrijvingen!$C$6:$AB$6),gen_uitsp_termijn,MAX(Afschrijvingen!$C$6:$AB$6)-$B32))</f>
        <v>0</v>
      </c>
      <c r="R32" s="38" t="b">
        <f>IF(AND($B32&lt;R$6,$B32+gen_uitsp_termijn&gt;=R$6),IF($B32+gen_uitsp_termijn&lt;MAX(Afschrijvingen!$C$6:$AB$6),gen_uitsp_termijn,MAX(Afschrijvingen!$C$6:$AB$6)-$B32))</f>
        <v>0</v>
      </c>
      <c r="S32" s="38" t="b">
        <f>IF(AND($B32&lt;S$6,$B32+gen_uitsp_termijn&gt;=S$6),IF($B32+gen_uitsp_termijn&lt;MAX(Afschrijvingen!$C$6:$AB$6),gen_uitsp_termijn,MAX(Afschrijvingen!$C$6:$AB$6)-$B32))</f>
        <v>0</v>
      </c>
      <c r="T32" s="38" t="b">
        <f>IF(AND($B32&lt;T$6,$B32+gen_uitsp_termijn&gt;=T$6),IF($B32+gen_uitsp_termijn&lt;MAX(Afschrijvingen!$C$6:$AB$6),gen_uitsp_termijn,MAX(Afschrijvingen!$C$6:$AB$6)-$B32))</f>
        <v>0</v>
      </c>
      <c r="U32" s="38" t="b">
        <f>IF(AND($B32&lt;U$6,$B32+gen_uitsp_termijn&gt;=U$6),IF($B32+gen_uitsp_termijn&lt;MAX(Afschrijvingen!$C$6:$AB$6),gen_uitsp_termijn,MAX(Afschrijvingen!$C$6:$AB$6)-$B32))</f>
        <v>0</v>
      </c>
      <c r="V32" s="38" t="b">
        <f>IF(AND($B32&lt;V$6,$B32+gen_uitsp_termijn&gt;=V$6),IF($B32+gen_uitsp_termijn&lt;MAX(Afschrijvingen!$C$6:$AB$6),gen_uitsp_termijn,MAX(Afschrijvingen!$C$6:$AB$6)-$B32))</f>
        <v>0</v>
      </c>
      <c r="W32" s="38" t="b">
        <f>IF(AND($B32&lt;W$6,$B32+gen_uitsp_termijn&gt;=W$6),IF($B32+gen_uitsp_termijn&lt;MAX(Afschrijvingen!$C$6:$AB$6),gen_uitsp_termijn,MAX(Afschrijvingen!$C$6:$AB$6)-$B32))</f>
        <v>0</v>
      </c>
      <c r="X32" s="38">
        <f>IF(AND($B32&lt;X$6,$B32+gen_uitsp_termijn&gt;=X$6),IF($B32+gen_uitsp_termijn&lt;MAX(Afschrijvingen!$C$6:$AB$6),gen_uitsp_termijn,MAX(Afschrijvingen!$C$6:$AB$6)-$B32))</f>
        <v>5</v>
      </c>
      <c r="Y32" s="38">
        <f>IF(AND($B32&lt;Y$6,$B32+gen_uitsp_termijn&gt;=Y$6),IF($B32+gen_uitsp_termijn&lt;MAX(Afschrijvingen!$C$6:$AB$6),gen_uitsp_termijn,MAX(Afschrijvingen!$C$6:$AB$6)-$B32))</f>
        <v>5</v>
      </c>
      <c r="Z32" s="38">
        <f>IF(AND($B32&lt;Z$6,$B32+gen_uitsp_termijn&gt;=Z$6),IF($B32+gen_uitsp_termijn&lt;MAX(Afschrijvingen!$C$6:$AB$6),gen_uitsp_termijn,MAX(Afschrijvingen!$C$6:$AB$6)-$B32))</f>
        <v>5</v>
      </c>
      <c r="AA32" s="38">
        <f>IF(AND($B32&lt;AA$6,$B32+gen_uitsp_termijn&gt;=AA$6),IF($B32+gen_uitsp_termijn&lt;MAX(Afschrijvingen!$C$6:$AB$6),gen_uitsp_termijn,MAX(Afschrijvingen!$C$6:$AB$6)-$B32))</f>
        <v>5</v>
      </c>
      <c r="AB32" s="38">
        <f>IF(AND($B32&lt;AB$6,$B32+gen_uitsp_termijn&gt;=AB$6),IF($B32+gen_uitsp_termijn&lt;MAX(Afschrijvingen!$C$6:$AB$6),gen_uitsp_termijn,MAX(Afschrijvingen!$C$6:$AB$6)-$B32))</f>
        <v>5</v>
      </c>
    </row>
    <row r="33" spans="1:29" x14ac:dyDescent="0.25">
      <c r="A33" s="21" t="s">
        <v>237</v>
      </c>
      <c r="B33" s="21">
        <v>21</v>
      </c>
      <c r="C33" s="38" t="b">
        <f>IF(AND($B33&lt;C$6,$B33+gen_uitsp_termijn&gt;=C$6),IF($B33+gen_uitsp_termijn&lt;MAX(Afschrijvingen!$C$6:$AB$6),gen_uitsp_termijn,MAX(Afschrijvingen!$C$6:$AB$6)-$B33))</f>
        <v>0</v>
      </c>
      <c r="D33" s="38" t="b">
        <f>IF(AND($B33&lt;D$6,$B33+gen_uitsp_termijn&gt;=D$6),IF($B33+gen_uitsp_termijn&lt;MAX(Afschrijvingen!$C$6:$AB$6),gen_uitsp_termijn,MAX(Afschrijvingen!$C$6:$AB$6)-$B33))</f>
        <v>0</v>
      </c>
      <c r="E33" s="38" t="b">
        <f>IF(AND($B33&lt;E$6,$B33+gen_uitsp_termijn&gt;=E$6),IF($B33+gen_uitsp_termijn&lt;MAX(Afschrijvingen!$C$6:$AB$6),gen_uitsp_termijn,MAX(Afschrijvingen!$C$6:$AB$6)-$B33))</f>
        <v>0</v>
      </c>
      <c r="F33" s="38" t="b">
        <f>IF(AND($B33&lt;F$6,$B33+gen_uitsp_termijn&gt;=F$6),IF($B33+gen_uitsp_termijn&lt;MAX(Afschrijvingen!$C$6:$AB$6),gen_uitsp_termijn,MAX(Afschrijvingen!$C$6:$AB$6)-$B33))</f>
        <v>0</v>
      </c>
      <c r="G33" s="38" t="b">
        <f>IF(AND($B33&lt;G$6,$B33+gen_uitsp_termijn&gt;=G$6),IF($B33+gen_uitsp_termijn&lt;MAX(Afschrijvingen!$C$6:$AB$6),gen_uitsp_termijn,MAX(Afschrijvingen!$C$6:$AB$6)-$B33))</f>
        <v>0</v>
      </c>
      <c r="H33" s="38" t="b">
        <f>IF(AND($B33&lt;H$6,$B33+gen_uitsp_termijn&gt;=H$6),IF($B33+gen_uitsp_termijn&lt;MAX(Afschrijvingen!$C$6:$AB$6),gen_uitsp_termijn,MAX(Afschrijvingen!$C$6:$AB$6)-$B33))</f>
        <v>0</v>
      </c>
      <c r="I33" s="38" t="b">
        <f>IF(AND($B33&lt;I$6,$B33+gen_uitsp_termijn&gt;=I$6),IF($B33+gen_uitsp_termijn&lt;MAX(Afschrijvingen!$C$6:$AB$6),gen_uitsp_termijn,MAX(Afschrijvingen!$C$6:$AB$6)-$B33))</f>
        <v>0</v>
      </c>
      <c r="J33" s="38" t="b">
        <f>IF(AND($B33&lt;J$6,$B33+gen_uitsp_termijn&gt;=J$6),IF($B33+gen_uitsp_termijn&lt;MAX(Afschrijvingen!$C$6:$AB$6),gen_uitsp_termijn,MAX(Afschrijvingen!$C$6:$AB$6)-$B33))</f>
        <v>0</v>
      </c>
      <c r="K33" s="38" t="b">
        <f>IF(AND($B33&lt;K$6,$B33+gen_uitsp_termijn&gt;=K$6),IF($B33+gen_uitsp_termijn&lt;MAX(Afschrijvingen!$C$6:$AB$6),gen_uitsp_termijn,MAX(Afschrijvingen!$C$6:$AB$6)-$B33))</f>
        <v>0</v>
      </c>
      <c r="L33" s="38" t="b">
        <f>IF(AND($B33&lt;L$6,$B33+gen_uitsp_termijn&gt;=L$6),IF($B33+gen_uitsp_termijn&lt;MAX(Afschrijvingen!$C$6:$AB$6),gen_uitsp_termijn,MAX(Afschrijvingen!$C$6:$AB$6)-$B33))</f>
        <v>0</v>
      </c>
      <c r="M33" s="38" t="b">
        <f>IF(AND($B33&lt;M$6,$B33+gen_uitsp_termijn&gt;=M$6),IF($B33+gen_uitsp_termijn&lt;MAX(Afschrijvingen!$C$6:$AB$6),gen_uitsp_termijn,MAX(Afschrijvingen!$C$6:$AB$6)-$B33))</f>
        <v>0</v>
      </c>
      <c r="N33" s="38" t="b">
        <f>IF(AND($B33&lt;N$6,$B33+gen_uitsp_termijn&gt;=N$6),IF($B33+gen_uitsp_termijn&lt;MAX(Afschrijvingen!$C$6:$AB$6),gen_uitsp_termijn,MAX(Afschrijvingen!$C$6:$AB$6)-$B33))</f>
        <v>0</v>
      </c>
      <c r="O33" s="38" t="b">
        <f>IF(AND($B33&lt;O$6,$B33+gen_uitsp_termijn&gt;=O$6),IF($B33+gen_uitsp_termijn&lt;MAX(Afschrijvingen!$C$6:$AB$6),gen_uitsp_termijn,MAX(Afschrijvingen!$C$6:$AB$6)-$B33))</f>
        <v>0</v>
      </c>
      <c r="P33" s="38" t="b">
        <f>IF(AND($B33&lt;P$6,$B33+gen_uitsp_termijn&gt;=P$6),IF($B33+gen_uitsp_termijn&lt;MAX(Afschrijvingen!$C$6:$AB$6),gen_uitsp_termijn,MAX(Afschrijvingen!$C$6:$AB$6)-$B33))</f>
        <v>0</v>
      </c>
      <c r="Q33" s="38" t="b">
        <f>IF(AND($B33&lt;Q$6,$B33+gen_uitsp_termijn&gt;=Q$6),IF($B33+gen_uitsp_termijn&lt;MAX(Afschrijvingen!$C$6:$AB$6),gen_uitsp_termijn,MAX(Afschrijvingen!$C$6:$AB$6)-$B33))</f>
        <v>0</v>
      </c>
      <c r="R33" s="38" t="b">
        <f>IF(AND($B33&lt;R$6,$B33+gen_uitsp_termijn&gt;=R$6),IF($B33+gen_uitsp_termijn&lt;MAX(Afschrijvingen!$C$6:$AB$6),gen_uitsp_termijn,MAX(Afschrijvingen!$C$6:$AB$6)-$B33))</f>
        <v>0</v>
      </c>
      <c r="S33" s="38" t="b">
        <f>IF(AND($B33&lt;S$6,$B33+gen_uitsp_termijn&gt;=S$6),IF($B33+gen_uitsp_termijn&lt;MAX(Afschrijvingen!$C$6:$AB$6),gen_uitsp_termijn,MAX(Afschrijvingen!$C$6:$AB$6)-$B33))</f>
        <v>0</v>
      </c>
      <c r="T33" s="38" t="b">
        <f>IF(AND($B33&lt;T$6,$B33+gen_uitsp_termijn&gt;=T$6),IF($B33+gen_uitsp_termijn&lt;MAX(Afschrijvingen!$C$6:$AB$6),gen_uitsp_termijn,MAX(Afschrijvingen!$C$6:$AB$6)-$B33))</f>
        <v>0</v>
      </c>
      <c r="U33" s="38" t="b">
        <f>IF(AND($B33&lt;U$6,$B33+gen_uitsp_termijn&gt;=U$6),IF($B33+gen_uitsp_termijn&lt;MAX(Afschrijvingen!$C$6:$AB$6),gen_uitsp_termijn,MAX(Afschrijvingen!$C$6:$AB$6)-$B33))</f>
        <v>0</v>
      </c>
      <c r="V33" s="38" t="b">
        <f>IF(AND($B33&lt;V$6,$B33+gen_uitsp_termijn&gt;=V$6),IF($B33+gen_uitsp_termijn&lt;MAX(Afschrijvingen!$C$6:$AB$6),gen_uitsp_termijn,MAX(Afschrijvingen!$C$6:$AB$6)-$B33))</f>
        <v>0</v>
      </c>
      <c r="W33" s="38" t="b">
        <f>IF(AND($B33&lt;W$6,$B33+gen_uitsp_termijn&gt;=W$6),IF($B33+gen_uitsp_termijn&lt;MAX(Afschrijvingen!$C$6:$AB$6),gen_uitsp_termijn,MAX(Afschrijvingen!$C$6:$AB$6)-$B33))</f>
        <v>0</v>
      </c>
      <c r="X33" s="38" t="b">
        <f>IF(AND($B33&lt;X$6,$B33+gen_uitsp_termijn&gt;=X$6),IF($B33+gen_uitsp_termijn&lt;MAX(Afschrijvingen!$C$6:$AB$6),gen_uitsp_termijn,MAX(Afschrijvingen!$C$6:$AB$6)-$B33))</f>
        <v>0</v>
      </c>
      <c r="Y33" s="38">
        <f>IF(AND($B33&lt;Y$6,$B33+gen_uitsp_termijn&gt;=Y$6),IF($B33+gen_uitsp_termijn&lt;MAX(Afschrijvingen!$C$6:$AB$6),gen_uitsp_termijn,MAX(Afschrijvingen!$C$6:$AB$6)-$B33))</f>
        <v>4</v>
      </c>
      <c r="Z33" s="38">
        <f>IF(AND($B33&lt;Z$6,$B33+gen_uitsp_termijn&gt;=Z$6),IF($B33+gen_uitsp_termijn&lt;MAX(Afschrijvingen!$C$6:$AB$6),gen_uitsp_termijn,MAX(Afschrijvingen!$C$6:$AB$6)-$B33))</f>
        <v>4</v>
      </c>
      <c r="AA33" s="38">
        <f>IF(AND($B33&lt;AA$6,$B33+gen_uitsp_termijn&gt;=AA$6),IF($B33+gen_uitsp_termijn&lt;MAX(Afschrijvingen!$C$6:$AB$6),gen_uitsp_termijn,MAX(Afschrijvingen!$C$6:$AB$6)-$B33))</f>
        <v>4</v>
      </c>
      <c r="AB33" s="38">
        <f>IF(AND($B33&lt;AB$6,$B33+gen_uitsp_termijn&gt;=AB$6),IF($B33+gen_uitsp_termijn&lt;MAX(Afschrijvingen!$C$6:$AB$6),gen_uitsp_termijn,MAX(Afschrijvingen!$C$6:$AB$6)-$B33))</f>
        <v>4</v>
      </c>
    </row>
    <row r="34" spans="1:29" x14ac:dyDescent="0.25">
      <c r="A34" s="21" t="s">
        <v>238</v>
      </c>
      <c r="B34" s="21">
        <v>22</v>
      </c>
      <c r="C34" s="38" t="b">
        <f>IF(AND($B34&lt;C$6,$B34+gen_uitsp_termijn&gt;=C$6),IF($B34+gen_uitsp_termijn&lt;MAX(Afschrijvingen!$C$6:$AB$6),gen_uitsp_termijn,MAX(Afschrijvingen!$C$6:$AB$6)-$B34))</f>
        <v>0</v>
      </c>
      <c r="D34" s="38" t="b">
        <f>IF(AND($B34&lt;D$6,$B34+gen_uitsp_termijn&gt;=D$6),IF($B34+gen_uitsp_termijn&lt;MAX(Afschrijvingen!$C$6:$AB$6),gen_uitsp_termijn,MAX(Afschrijvingen!$C$6:$AB$6)-$B34))</f>
        <v>0</v>
      </c>
      <c r="E34" s="38" t="b">
        <f>IF(AND($B34&lt;E$6,$B34+gen_uitsp_termijn&gt;=E$6),IF($B34+gen_uitsp_termijn&lt;MAX(Afschrijvingen!$C$6:$AB$6),gen_uitsp_termijn,MAX(Afschrijvingen!$C$6:$AB$6)-$B34))</f>
        <v>0</v>
      </c>
      <c r="F34" s="38" t="b">
        <f>IF(AND($B34&lt;F$6,$B34+gen_uitsp_termijn&gt;=F$6),IF($B34+gen_uitsp_termijn&lt;MAX(Afschrijvingen!$C$6:$AB$6),gen_uitsp_termijn,MAX(Afschrijvingen!$C$6:$AB$6)-$B34))</f>
        <v>0</v>
      </c>
      <c r="G34" s="38" t="b">
        <f>IF(AND($B34&lt;G$6,$B34+gen_uitsp_termijn&gt;=G$6),IF($B34+gen_uitsp_termijn&lt;MAX(Afschrijvingen!$C$6:$AB$6),gen_uitsp_termijn,MAX(Afschrijvingen!$C$6:$AB$6)-$B34))</f>
        <v>0</v>
      </c>
      <c r="H34" s="38" t="b">
        <f>IF(AND($B34&lt;H$6,$B34+gen_uitsp_termijn&gt;=H$6),IF($B34+gen_uitsp_termijn&lt;MAX(Afschrijvingen!$C$6:$AB$6),gen_uitsp_termijn,MAX(Afschrijvingen!$C$6:$AB$6)-$B34))</f>
        <v>0</v>
      </c>
      <c r="I34" s="38" t="b">
        <f>IF(AND($B34&lt;I$6,$B34+gen_uitsp_termijn&gt;=I$6),IF($B34+gen_uitsp_termijn&lt;MAX(Afschrijvingen!$C$6:$AB$6),gen_uitsp_termijn,MAX(Afschrijvingen!$C$6:$AB$6)-$B34))</f>
        <v>0</v>
      </c>
      <c r="J34" s="38" t="b">
        <f>IF(AND($B34&lt;J$6,$B34+gen_uitsp_termijn&gt;=J$6),IF($B34+gen_uitsp_termijn&lt;MAX(Afschrijvingen!$C$6:$AB$6),gen_uitsp_termijn,MAX(Afschrijvingen!$C$6:$AB$6)-$B34))</f>
        <v>0</v>
      </c>
      <c r="K34" s="38" t="b">
        <f>IF(AND($B34&lt;K$6,$B34+gen_uitsp_termijn&gt;=K$6),IF($B34+gen_uitsp_termijn&lt;MAX(Afschrijvingen!$C$6:$AB$6),gen_uitsp_termijn,MAX(Afschrijvingen!$C$6:$AB$6)-$B34))</f>
        <v>0</v>
      </c>
      <c r="L34" s="38" t="b">
        <f>IF(AND($B34&lt;L$6,$B34+gen_uitsp_termijn&gt;=L$6),IF($B34+gen_uitsp_termijn&lt;MAX(Afschrijvingen!$C$6:$AB$6),gen_uitsp_termijn,MAX(Afschrijvingen!$C$6:$AB$6)-$B34))</f>
        <v>0</v>
      </c>
      <c r="M34" s="38" t="b">
        <f>IF(AND($B34&lt;M$6,$B34+gen_uitsp_termijn&gt;=M$6),IF($B34+gen_uitsp_termijn&lt;MAX(Afschrijvingen!$C$6:$AB$6),gen_uitsp_termijn,MAX(Afschrijvingen!$C$6:$AB$6)-$B34))</f>
        <v>0</v>
      </c>
      <c r="N34" s="38" t="b">
        <f>IF(AND($B34&lt;N$6,$B34+gen_uitsp_termijn&gt;=N$6),IF($B34+gen_uitsp_termijn&lt;MAX(Afschrijvingen!$C$6:$AB$6),gen_uitsp_termijn,MAX(Afschrijvingen!$C$6:$AB$6)-$B34))</f>
        <v>0</v>
      </c>
      <c r="O34" s="38" t="b">
        <f>IF(AND($B34&lt;O$6,$B34+gen_uitsp_termijn&gt;=O$6),IF($B34+gen_uitsp_termijn&lt;MAX(Afschrijvingen!$C$6:$AB$6),gen_uitsp_termijn,MAX(Afschrijvingen!$C$6:$AB$6)-$B34))</f>
        <v>0</v>
      </c>
      <c r="P34" s="38" t="b">
        <f>IF(AND($B34&lt;P$6,$B34+gen_uitsp_termijn&gt;=P$6),IF($B34+gen_uitsp_termijn&lt;MAX(Afschrijvingen!$C$6:$AB$6),gen_uitsp_termijn,MAX(Afschrijvingen!$C$6:$AB$6)-$B34))</f>
        <v>0</v>
      </c>
      <c r="Q34" s="38" t="b">
        <f>IF(AND($B34&lt;Q$6,$B34+gen_uitsp_termijn&gt;=Q$6),IF($B34+gen_uitsp_termijn&lt;MAX(Afschrijvingen!$C$6:$AB$6),gen_uitsp_termijn,MAX(Afschrijvingen!$C$6:$AB$6)-$B34))</f>
        <v>0</v>
      </c>
      <c r="R34" s="38" t="b">
        <f>IF(AND($B34&lt;R$6,$B34+gen_uitsp_termijn&gt;=R$6),IF($B34+gen_uitsp_termijn&lt;MAX(Afschrijvingen!$C$6:$AB$6),gen_uitsp_termijn,MAX(Afschrijvingen!$C$6:$AB$6)-$B34))</f>
        <v>0</v>
      </c>
      <c r="S34" s="38" t="b">
        <f>IF(AND($B34&lt;S$6,$B34+gen_uitsp_termijn&gt;=S$6),IF($B34+gen_uitsp_termijn&lt;MAX(Afschrijvingen!$C$6:$AB$6),gen_uitsp_termijn,MAX(Afschrijvingen!$C$6:$AB$6)-$B34))</f>
        <v>0</v>
      </c>
      <c r="T34" s="38" t="b">
        <f>IF(AND($B34&lt;T$6,$B34+gen_uitsp_termijn&gt;=T$6),IF($B34+gen_uitsp_termijn&lt;MAX(Afschrijvingen!$C$6:$AB$6),gen_uitsp_termijn,MAX(Afschrijvingen!$C$6:$AB$6)-$B34))</f>
        <v>0</v>
      </c>
      <c r="U34" s="38" t="b">
        <f>IF(AND($B34&lt;U$6,$B34+gen_uitsp_termijn&gt;=U$6),IF($B34+gen_uitsp_termijn&lt;MAX(Afschrijvingen!$C$6:$AB$6),gen_uitsp_termijn,MAX(Afschrijvingen!$C$6:$AB$6)-$B34))</f>
        <v>0</v>
      </c>
      <c r="V34" s="38" t="b">
        <f>IF(AND($B34&lt;V$6,$B34+gen_uitsp_termijn&gt;=V$6),IF($B34+gen_uitsp_termijn&lt;MAX(Afschrijvingen!$C$6:$AB$6),gen_uitsp_termijn,MAX(Afschrijvingen!$C$6:$AB$6)-$B34))</f>
        <v>0</v>
      </c>
      <c r="W34" s="38" t="b">
        <f>IF(AND($B34&lt;W$6,$B34+gen_uitsp_termijn&gt;=W$6),IF($B34+gen_uitsp_termijn&lt;MAX(Afschrijvingen!$C$6:$AB$6),gen_uitsp_termijn,MAX(Afschrijvingen!$C$6:$AB$6)-$B34))</f>
        <v>0</v>
      </c>
      <c r="X34" s="38" t="b">
        <f>IF(AND($B34&lt;X$6,$B34+gen_uitsp_termijn&gt;=X$6),IF($B34+gen_uitsp_termijn&lt;MAX(Afschrijvingen!$C$6:$AB$6),gen_uitsp_termijn,MAX(Afschrijvingen!$C$6:$AB$6)-$B34))</f>
        <v>0</v>
      </c>
      <c r="Y34" s="38" t="b">
        <f>IF(AND($B34&lt;Y$6,$B34+gen_uitsp_termijn&gt;=Y$6),IF($B34+gen_uitsp_termijn&lt;MAX(Afschrijvingen!$C$6:$AB$6),gen_uitsp_termijn,MAX(Afschrijvingen!$C$6:$AB$6)-$B34))</f>
        <v>0</v>
      </c>
      <c r="Z34" s="38">
        <f>IF(AND($B34&lt;Z$6,$B34+gen_uitsp_termijn&gt;=Z$6),IF($B34+gen_uitsp_termijn&lt;MAX(Afschrijvingen!$C$6:$AB$6),gen_uitsp_termijn,MAX(Afschrijvingen!$C$6:$AB$6)-$B34))</f>
        <v>3</v>
      </c>
      <c r="AA34" s="38">
        <f>IF(AND($B34&lt;AA$6,$B34+gen_uitsp_termijn&gt;=AA$6),IF($B34+gen_uitsp_termijn&lt;MAX(Afschrijvingen!$C$6:$AB$6),gen_uitsp_termijn,MAX(Afschrijvingen!$C$6:$AB$6)-$B34))</f>
        <v>3</v>
      </c>
      <c r="AB34" s="38">
        <f>IF(AND($B34&lt;AB$6,$B34+gen_uitsp_termijn&gt;=AB$6),IF($B34+gen_uitsp_termijn&lt;MAX(Afschrijvingen!$C$6:$AB$6),gen_uitsp_termijn,MAX(Afschrijvingen!$C$6:$AB$6)-$B34))</f>
        <v>3</v>
      </c>
    </row>
    <row r="35" spans="1:29" x14ac:dyDescent="0.25">
      <c r="A35" s="21" t="s">
        <v>239</v>
      </c>
      <c r="B35" s="21">
        <v>23</v>
      </c>
      <c r="C35" s="38" t="b">
        <f>IF(AND($B35&lt;C$6,$B35+gen_uitsp_termijn&gt;=C$6),IF($B35+gen_uitsp_termijn&lt;MAX(Afschrijvingen!$C$6:$AB$6),gen_uitsp_termijn,MAX(Afschrijvingen!$C$6:$AB$6)-$B35))</f>
        <v>0</v>
      </c>
      <c r="D35" s="38" t="b">
        <f>IF(AND($B35&lt;D$6,$B35+gen_uitsp_termijn&gt;=D$6),IF($B35+gen_uitsp_termijn&lt;MAX(Afschrijvingen!$C$6:$AB$6),gen_uitsp_termijn,MAX(Afschrijvingen!$C$6:$AB$6)-$B35))</f>
        <v>0</v>
      </c>
      <c r="E35" s="38" t="b">
        <f>IF(AND($B35&lt;E$6,$B35+gen_uitsp_termijn&gt;=E$6),IF($B35+gen_uitsp_termijn&lt;MAX(Afschrijvingen!$C$6:$AB$6),gen_uitsp_termijn,MAX(Afschrijvingen!$C$6:$AB$6)-$B35))</f>
        <v>0</v>
      </c>
      <c r="F35" s="38" t="b">
        <f>IF(AND($B35&lt;F$6,$B35+gen_uitsp_termijn&gt;=F$6),IF($B35+gen_uitsp_termijn&lt;MAX(Afschrijvingen!$C$6:$AB$6),gen_uitsp_termijn,MAX(Afschrijvingen!$C$6:$AB$6)-$B35))</f>
        <v>0</v>
      </c>
      <c r="G35" s="38" t="b">
        <f>IF(AND($B35&lt;G$6,$B35+gen_uitsp_termijn&gt;=G$6),IF($B35+gen_uitsp_termijn&lt;MAX(Afschrijvingen!$C$6:$AB$6),gen_uitsp_termijn,MAX(Afschrijvingen!$C$6:$AB$6)-$B35))</f>
        <v>0</v>
      </c>
      <c r="H35" s="38" t="b">
        <f>IF(AND($B35&lt;H$6,$B35+gen_uitsp_termijn&gt;=H$6),IF($B35+gen_uitsp_termijn&lt;MAX(Afschrijvingen!$C$6:$AB$6),gen_uitsp_termijn,MAX(Afschrijvingen!$C$6:$AB$6)-$B35))</f>
        <v>0</v>
      </c>
      <c r="I35" s="38" t="b">
        <f>IF(AND($B35&lt;I$6,$B35+gen_uitsp_termijn&gt;=I$6),IF($B35+gen_uitsp_termijn&lt;MAX(Afschrijvingen!$C$6:$AB$6),gen_uitsp_termijn,MAX(Afschrijvingen!$C$6:$AB$6)-$B35))</f>
        <v>0</v>
      </c>
      <c r="J35" s="38" t="b">
        <f>IF(AND($B35&lt;J$6,$B35+gen_uitsp_termijn&gt;=J$6),IF($B35+gen_uitsp_termijn&lt;MAX(Afschrijvingen!$C$6:$AB$6),gen_uitsp_termijn,MAX(Afschrijvingen!$C$6:$AB$6)-$B35))</f>
        <v>0</v>
      </c>
      <c r="K35" s="38" t="b">
        <f>IF(AND($B35&lt;K$6,$B35+gen_uitsp_termijn&gt;=K$6),IF($B35+gen_uitsp_termijn&lt;MAX(Afschrijvingen!$C$6:$AB$6),gen_uitsp_termijn,MAX(Afschrijvingen!$C$6:$AB$6)-$B35))</f>
        <v>0</v>
      </c>
      <c r="L35" s="38" t="b">
        <f>IF(AND($B35&lt;L$6,$B35+gen_uitsp_termijn&gt;=L$6),IF($B35+gen_uitsp_termijn&lt;MAX(Afschrijvingen!$C$6:$AB$6),gen_uitsp_termijn,MAX(Afschrijvingen!$C$6:$AB$6)-$B35))</f>
        <v>0</v>
      </c>
      <c r="M35" s="38" t="b">
        <f>IF(AND($B35&lt;M$6,$B35+gen_uitsp_termijn&gt;=M$6),IF($B35+gen_uitsp_termijn&lt;MAX(Afschrijvingen!$C$6:$AB$6),gen_uitsp_termijn,MAX(Afschrijvingen!$C$6:$AB$6)-$B35))</f>
        <v>0</v>
      </c>
      <c r="N35" s="38" t="b">
        <f>IF(AND($B35&lt;N$6,$B35+gen_uitsp_termijn&gt;=N$6),IF($B35+gen_uitsp_termijn&lt;MAX(Afschrijvingen!$C$6:$AB$6),gen_uitsp_termijn,MAX(Afschrijvingen!$C$6:$AB$6)-$B35))</f>
        <v>0</v>
      </c>
      <c r="O35" s="38" t="b">
        <f>IF(AND($B35&lt;O$6,$B35+gen_uitsp_termijn&gt;=O$6),IF($B35+gen_uitsp_termijn&lt;MAX(Afschrijvingen!$C$6:$AB$6),gen_uitsp_termijn,MAX(Afschrijvingen!$C$6:$AB$6)-$B35))</f>
        <v>0</v>
      </c>
      <c r="P35" s="38" t="b">
        <f>IF(AND($B35&lt;P$6,$B35+gen_uitsp_termijn&gt;=P$6),IF($B35+gen_uitsp_termijn&lt;MAX(Afschrijvingen!$C$6:$AB$6),gen_uitsp_termijn,MAX(Afschrijvingen!$C$6:$AB$6)-$B35))</f>
        <v>0</v>
      </c>
      <c r="Q35" s="38" t="b">
        <f>IF(AND($B35&lt;Q$6,$B35+gen_uitsp_termijn&gt;=Q$6),IF($B35+gen_uitsp_termijn&lt;MAX(Afschrijvingen!$C$6:$AB$6),gen_uitsp_termijn,MAX(Afschrijvingen!$C$6:$AB$6)-$B35))</f>
        <v>0</v>
      </c>
      <c r="R35" s="38" t="b">
        <f>IF(AND($B35&lt;R$6,$B35+gen_uitsp_termijn&gt;=R$6),IF($B35+gen_uitsp_termijn&lt;MAX(Afschrijvingen!$C$6:$AB$6),gen_uitsp_termijn,MAX(Afschrijvingen!$C$6:$AB$6)-$B35))</f>
        <v>0</v>
      </c>
      <c r="S35" s="38" t="b">
        <f>IF(AND($B35&lt;S$6,$B35+gen_uitsp_termijn&gt;=S$6),IF($B35+gen_uitsp_termijn&lt;MAX(Afschrijvingen!$C$6:$AB$6),gen_uitsp_termijn,MAX(Afschrijvingen!$C$6:$AB$6)-$B35))</f>
        <v>0</v>
      </c>
      <c r="T35" s="38" t="b">
        <f>IF(AND($B35&lt;T$6,$B35+gen_uitsp_termijn&gt;=T$6),IF($B35+gen_uitsp_termijn&lt;MAX(Afschrijvingen!$C$6:$AB$6),gen_uitsp_termijn,MAX(Afschrijvingen!$C$6:$AB$6)-$B35))</f>
        <v>0</v>
      </c>
      <c r="U35" s="38" t="b">
        <f>IF(AND($B35&lt;U$6,$B35+gen_uitsp_termijn&gt;=U$6),IF($B35+gen_uitsp_termijn&lt;MAX(Afschrijvingen!$C$6:$AB$6),gen_uitsp_termijn,MAX(Afschrijvingen!$C$6:$AB$6)-$B35))</f>
        <v>0</v>
      </c>
      <c r="V35" s="38" t="b">
        <f>IF(AND($B35&lt;V$6,$B35+gen_uitsp_termijn&gt;=V$6),IF($B35+gen_uitsp_termijn&lt;MAX(Afschrijvingen!$C$6:$AB$6),gen_uitsp_termijn,MAX(Afschrijvingen!$C$6:$AB$6)-$B35))</f>
        <v>0</v>
      </c>
      <c r="W35" s="38" t="b">
        <f>IF(AND($B35&lt;W$6,$B35+gen_uitsp_termijn&gt;=W$6),IF($B35+gen_uitsp_termijn&lt;MAX(Afschrijvingen!$C$6:$AB$6),gen_uitsp_termijn,MAX(Afschrijvingen!$C$6:$AB$6)-$B35))</f>
        <v>0</v>
      </c>
      <c r="X35" s="38" t="b">
        <f>IF(AND($B35&lt;X$6,$B35+gen_uitsp_termijn&gt;=X$6),IF($B35+gen_uitsp_termijn&lt;MAX(Afschrijvingen!$C$6:$AB$6),gen_uitsp_termijn,MAX(Afschrijvingen!$C$6:$AB$6)-$B35))</f>
        <v>0</v>
      </c>
      <c r="Y35" s="38" t="b">
        <f>IF(AND($B35&lt;Y$6,$B35+gen_uitsp_termijn&gt;=Y$6),IF($B35+gen_uitsp_termijn&lt;MAX(Afschrijvingen!$C$6:$AB$6),gen_uitsp_termijn,MAX(Afschrijvingen!$C$6:$AB$6)-$B35))</f>
        <v>0</v>
      </c>
      <c r="Z35" s="38" t="b">
        <f>IF(AND($B35&lt;Z$6,$B35+gen_uitsp_termijn&gt;=Z$6),IF($B35+gen_uitsp_termijn&lt;MAX(Afschrijvingen!$C$6:$AB$6),gen_uitsp_termijn,MAX(Afschrijvingen!$C$6:$AB$6)-$B35))</f>
        <v>0</v>
      </c>
      <c r="AA35" s="38">
        <f>IF(AND($B35&lt;AA$6,$B35+gen_uitsp_termijn&gt;=AA$6),IF($B35+gen_uitsp_termijn&lt;MAX(Afschrijvingen!$C$6:$AB$6),gen_uitsp_termijn,MAX(Afschrijvingen!$C$6:$AB$6)-$B35))</f>
        <v>2</v>
      </c>
      <c r="AB35" s="38">
        <f>IF(AND($B35&lt;AB$6,$B35+gen_uitsp_termijn&gt;=AB$6),IF($B35+gen_uitsp_termijn&lt;MAX(Afschrijvingen!$C$6:$AB$6),gen_uitsp_termijn,MAX(Afschrijvingen!$C$6:$AB$6)-$B35))</f>
        <v>2</v>
      </c>
    </row>
    <row r="36" spans="1:29" x14ac:dyDescent="0.25">
      <c r="A36" s="21" t="s">
        <v>240</v>
      </c>
      <c r="B36" s="21">
        <v>24</v>
      </c>
      <c r="C36" s="38" t="b">
        <f>IF(AND($B36&lt;C$6,$B36+gen_uitsp_termijn&gt;=C$6),IF($B36+gen_uitsp_termijn&lt;MAX(Afschrijvingen!$C$6:$AB$6),gen_uitsp_termijn,MAX(Afschrijvingen!$C$6:$AB$6)-$B36))</f>
        <v>0</v>
      </c>
      <c r="D36" s="38" t="b">
        <f>IF(AND($B36&lt;D$6,$B36+gen_uitsp_termijn&gt;=D$6),IF($B36+gen_uitsp_termijn&lt;MAX(Afschrijvingen!$C$6:$AB$6),gen_uitsp_termijn,MAX(Afschrijvingen!$C$6:$AB$6)-$B36))</f>
        <v>0</v>
      </c>
      <c r="E36" s="38" t="b">
        <f>IF(AND($B36&lt;E$6,$B36+gen_uitsp_termijn&gt;=E$6),IF($B36+gen_uitsp_termijn&lt;MAX(Afschrijvingen!$C$6:$AB$6),gen_uitsp_termijn,MAX(Afschrijvingen!$C$6:$AB$6)-$B36))</f>
        <v>0</v>
      </c>
      <c r="F36" s="38" t="b">
        <f>IF(AND($B36&lt;F$6,$B36+gen_uitsp_termijn&gt;=F$6),IF($B36+gen_uitsp_termijn&lt;MAX(Afschrijvingen!$C$6:$AB$6),gen_uitsp_termijn,MAX(Afschrijvingen!$C$6:$AB$6)-$B36))</f>
        <v>0</v>
      </c>
      <c r="G36" s="38" t="b">
        <f>IF(AND($B36&lt;G$6,$B36+gen_uitsp_termijn&gt;=G$6),IF($B36+gen_uitsp_termijn&lt;MAX(Afschrijvingen!$C$6:$AB$6),gen_uitsp_termijn,MAX(Afschrijvingen!$C$6:$AB$6)-$B36))</f>
        <v>0</v>
      </c>
      <c r="H36" s="38" t="b">
        <f>IF(AND($B36&lt;H$6,$B36+gen_uitsp_termijn&gt;=H$6),IF($B36+gen_uitsp_termijn&lt;MAX(Afschrijvingen!$C$6:$AB$6),gen_uitsp_termijn,MAX(Afschrijvingen!$C$6:$AB$6)-$B36))</f>
        <v>0</v>
      </c>
      <c r="I36" s="38" t="b">
        <f>IF(AND($B36&lt;I$6,$B36+gen_uitsp_termijn&gt;=I$6),IF($B36+gen_uitsp_termijn&lt;MAX(Afschrijvingen!$C$6:$AB$6),gen_uitsp_termijn,MAX(Afschrijvingen!$C$6:$AB$6)-$B36))</f>
        <v>0</v>
      </c>
      <c r="J36" s="38" t="b">
        <f>IF(AND($B36&lt;J$6,$B36+gen_uitsp_termijn&gt;=J$6),IF($B36+gen_uitsp_termijn&lt;MAX(Afschrijvingen!$C$6:$AB$6),gen_uitsp_termijn,MAX(Afschrijvingen!$C$6:$AB$6)-$B36))</f>
        <v>0</v>
      </c>
      <c r="K36" s="38" t="b">
        <f>IF(AND($B36&lt;K$6,$B36+gen_uitsp_termijn&gt;=K$6),IF($B36+gen_uitsp_termijn&lt;MAX(Afschrijvingen!$C$6:$AB$6),gen_uitsp_termijn,MAX(Afschrijvingen!$C$6:$AB$6)-$B36))</f>
        <v>0</v>
      </c>
      <c r="L36" s="38" t="b">
        <f>IF(AND($B36&lt;L$6,$B36+gen_uitsp_termijn&gt;=L$6),IF($B36+gen_uitsp_termijn&lt;MAX(Afschrijvingen!$C$6:$AB$6),gen_uitsp_termijn,MAX(Afschrijvingen!$C$6:$AB$6)-$B36))</f>
        <v>0</v>
      </c>
      <c r="M36" s="38" t="b">
        <f>IF(AND($B36&lt;M$6,$B36+gen_uitsp_termijn&gt;=M$6),IF($B36+gen_uitsp_termijn&lt;MAX(Afschrijvingen!$C$6:$AB$6),gen_uitsp_termijn,MAX(Afschrijvingen!$C$6:$AB$6)-$B36))</f>
        <v>0</v>
      </c>
      <c r="N36" s="38" t="b">
        <f>IF(AND($B36&lt;N$6,$B36+gen_uitsp_termijn&gt;=N$6),IF($B36+gen_uitsp_termijn&lt;MAX(Afschrijvingen!$C$6:$AB$6),gen_uitsp_termijn,MAX(Afschrijvingen!$C$6:$AB$6)-$B36))</f>
        <v>0</v>
      </c>
      <c r="O36" s="38" t="b">
        <f>IF(AND($B36&lt;O$6,$B36+gen_uitsp_termijn&gt;=O$6),IF($B36+gen_uitsp_termijn&lt;MAX(Afschrijvingen!$C$6:$AB$6),gen_uitsp_termijn,MAX(Afschrijvingen!$C$6:$AB$6)-$B36))</f>
        <v>0</v>
      </c>
      <c r="P36" s="38" t="b">
        <f>IF(AND($B36&lt;P$6,$B36+gen_uitsp_termijn&gt;=P$6),IF($B36+gen_uitsp_termijn&lt;MAX(Afschrijvingen!$C$6:$AB$6),gen_uitsp_termijn,MAX(Afschrijvingen!$C$6:$AB$6)-$B36))</f>
        <v>0</v>
      </c>
      <c r="Q36" s="38" t="b">
        <f>IF(AND($B36&lt;Q$6,$B36+gen_uitsp_termijn&gt;=Q$6),IF($B36+gen_uitsp_termijn&lt;MAX(Afschrijvingen!$C$6:$AB$6),gen_uitsp_termijn,MAX(Afschrijvingen!$C$6:$AB$6)-$B36))</f>
        <v>0</v>
      </c>
      <c r="R36" s="38" t="b">
        <f>IF(AND($B36&lt;R$6,$B36+gen_uitsp_termijn&gt;=R$6),IF($B36+gen_uitsp_termijn&lt;MAX(Afschrijvingen!$C$6:$AB$6),gen_uitsp_termijn,MAX(Afschrijvingen!$C$6:$AB$6)-$B36))</f>
        <v>0</v>
      </c>
      <c r="S36" s="38" t="b">
        <f>IF(AND($B36&lt;S$6,$B36+gen_uitsp_termijn&gt;=S$6),IF($B36+gen_uitsp_termijn&lt;MAX(Afschrijvingen!$C$6:$AB$6),gen_uitsp_termijn,MAX(Afschrijvingen!$C$6:$AB$6)-$B36))</f>
        <v>0</v>
      </c>
      <c r="T36" s="38" t="b">
        <f>IF(AND($B36&lt;T$6,$B36+gen_uitsp_termijn&gt;=T$6),IF($B36+gen_uitsp_termijn&lt;MAX(Afschrijvingen!$C$6:$AB$6),gen_uitsp_termijn,MAX(Afschrijvingen!$C$6:$AB$6)-$B36))</f>
        <v>0</v>
      </c>
      <c r="U36" s="38" t="b">
        <f>IF(AND($B36&lt;U$6,$B36+gen_uitsp_termijn&gt;=U$6),IF($B36+gen_uitsp_termijn&lt;MAX(Afschrijvingen!$C$6:$AB$6),gen_uitsp_termijn,MAX(Afschrijvingen!$C$6:$AB$6)-$B36))</f>
        <v>0</v>
      </c>
      <c r="V36" s="38" t="b">
        <f>IF(AND($B36&lt;V$6,$B36+gen_uitsp_termijn&gt;=V$6),IF($B36+gen_uitsp_termijn&lt;MAX(Afschrijvingen!$C$6:$AB$6),gen_uitsp_termijn,MAX(Afschrijvingen!$C$6:$AB$6)-$B36))</f>
        <v>0</v>
      </c>
      <c r="W36" s="38" t="b">
        <f>IF(AND($B36&lt;W$6,$B36+gen_uitsp_termijn&gt;=W$6),IF($B36+gen_uitsp_termijn&lt;MAX(Afschrijvingen!$C$6:$AB$6),gen_uitsp_termijn,MAX(Afschrijvingen!$C$6:$AB$6)-$B36))</f>
        <v>0</v>
      </c>
      <c r="X36" s="38" t="b">
        <f>IF(AND($B36&lt;X$6,$B36+gen_uitsp_termijn&gt;=X$6),IF($B36+gen_uitsp_termijn&lt;MAX(Afschrijvingen!$C$6:$AB$6),gen_uitsp_termijn,MAX(Afschrijvingen!$C$6:$AB$6)-$B36))</f>
        <v>0</v>
      </c>
      <c r="Y36" s="38" t="b">
        <f>IF(AND($B36&lt;Y$6,$B36+gen_uitsp_termijn&gt;=Y$6),IF($B36+gen_uitsp_termijn&lt;MAX(Afschrijvingen!$C$6:$AB$6),gen_uitsp_termijn,MAX(Afschrijvingen!$C$6:$AB$6)-$B36))</f>
        <v>0</v>
      </c>
      <c r="Z36" s="38" t="b">
        <f>IF(AND($B36&lt;Z$6,$B36+gen_uitsp_termijn&gt;=Z$6),IF($B36+gen_uitsp_termijn&lt;MAX(Afschrijvingen!$C$6:$AB$6),gen_uitsp_termijn,MAX(Afschrijvingen!$C$6:$AB$6)-$B36))</f>
        <v>0</v>
      </c>
      <c r="AA36" s="38" t="b">
        <f>IF(AND($B36&lt;AA$6,$B36+gen_uitsp_termijn&gt;=AA$6),IF($B36+gen_uitsp_termijn&lt;MAX(Afschrijvingen!$C$6:$AB$6),gen_uitsp_termijn,MAX(Afschrijvingen!$C$6:$AB$6)-$B36))</f>
        <v>0</v>
      </c>
      <c r="AB36" s="38">
        <f>IF(AND($B36&lt;AB$6,$B36+gen_uitsp_termijn&gt;=AB$6),IF($B36+gen_uitsp_termijn&lt;MAX(Afschrijvingen!$C$6:$AB$6),gen_uitsp_termijn,MAX(Afschrijvingen!$C$6:$AB$6)-$B36))</f>
        <v>1</v>
      </c>
    </row>
    <row r="37" spans="1:29" x14ac:dyDescent="0.25">
      <c r="A37" s="41" t="s">
        <v>241</v>
      </c>
      <c r="B37" s="41">
        <v>25</v>
      </c>
      <c r="C37" s="43" t="b">
        <f>IF(AND($B37&lt;C$6,$B37+gen_uitsp_termijn&gt;=C$6),IF($B37+gen_uitsp_termijn&lt;MAX(Afschrijvingen!$C$6:$AB$6),gen_uitsp_termijn,MAX(Afschrijvingen!$C$6:$AB$6)-$B37))</f>
        <v>0</v>
      </c>
      <c r="D37" s="43" t="b">
        <f>IF(AND($B37&lt;D$6,$B37+gen_uitsp_termijn&gt;=D$6),IF($B37+gen_uitsp_termijn&lt;MAX(Afschrijvingen!$C$6:$AB$6),gen_uitsp_termijn,MAX(Afschrijvingen!$C$6:$AB$6)-$B37))</f>
        <v>0</v>
      </c>
      <c r="E37" s="43" t="b">
        <f>IF(AND($B37&lt;E$6,$B37+gen_uitsp_termijn&gt;=E$6),IF($B37+gen_uitsp_termijn&lt;MAX(Afschrijvingen!$C$6:$AB$6),gen_uitsp_termijn,MAX(Afschrijvingen!$C$6:$AB$6)-$B37))</f>
        <v>0</v>
      </c>
      <c r="F37" s="43" t="b">
        <f>IF(AND($B37&lt;F$6,$B37+gen_uitsp_termijn&gt;=F$6),IF($B37+gen_uitsp_termijn&lt;MAX(Afschrijvingen!$C$6:$AB$6),gen_uitsp_termijn,MAX(Afschrijvingen!$C$6:$AB$6)-$B37))</f>
        <v>0</v>
      </c>
      <c r="G37" s="43" t="b">
        <f>IF(AND($B37&lt;G$6,$B37+gen_uitsp_termijn&gt;=G$6),IF($B37+gen_uitsp_termijn&lt;MAX(Afschrijvingen!$C$6:$AB$6),gen_uitsp_termijn,MAX(Afschrijvingen!$C$6:$AB$6)-$B37))</f>
        <v>0</v>
      </c>
      <c r="H37" s="43" t="b">
        <f>IF(AND($B37&lt;H$6,$B37+gen_uitsp_termijn&gt;=H$6),IF($B37+gen_uitsp_termijn&lt;MAX(Afschrijvingen!$C$6:$AB$6),gen_uitsp_termijn,MAX(Afschrijvingen!$C$6:$AB$6)-$B37))</f>
        <v>0</v>
      </c>
      <c r="I37" s="43" t="b">
        <f>IF(AND($B37&lt;I$6,$B37+gen_uitsp_termijn&gt;=I$6),IF($B37+gen_uitsp_termijn&lt;MAX(Afschrijvingen!$C$6:$AB$6),gen_uitsp_termijn,MAX(Afschrijvingen!$C$6:$AB$6)-$B37))</f>
        <v>0</v>
      </c>
      <c r="J37" s="43" t="b">
        <f>IF(AND($B37&lt;J$6,$B37+gen_uitsp_termijn&gt;=J$6),IF($B37+gen_uitsp_termijn&lt;MAX(Afschrijvingen!$C$6:$AB$6),gen_uitsp_termijn,MAX(Afschrijvingen!$C$6:$AB$6)-$B37))</f>
        <v>0</v>
      </c>
      <c r="K37" s="43" t="b">
        <f>IF(AND($B37&lt;K$6,$B37+gen_uitsp_termijn&gt;=K$6),IF($B37+gen_uitsp_termijn&lt;MAX(Afschrijvingen!$C$6:$AB$6),gen_uitsp_termijn,MAX(Afschrijvingen!$C$6:$AB$6)-$B37))</f>
        <v>0</v>
      </c>
      <c r="L37" s="43" t="b">
        <f>IF(AND($B37&lt;L$6,$B37+gen_uitsp_termijn&gt;=L$6),IF($B37+gen_uitsp_termijn&lt;MAX(Afschrijvingen!$C$6:$AB$6),gen_uitsp_termijn,MAX(Afschrijvingen!$C$6:$AB$6)-$B37))</f>
        <v>0</v>
      </c>
      <c r="M37" s="43" t="b">
        <f>IF(AND($B37&lt;M$6,$B37+gen_uitsp_termijn&gt;=M$6),IF($B37+gen_uitsp_termijn&lt;MAX(Afschrijvingen!$C$6:$AB$6),gen_uitsp_termijn,MAX(Afschrijvingen!$C$6:$AB$6)-$B37))</f>
        <v>0</v>
      </c>
      <c r="N37" s="43" t="b">
        <f>IF(AND($B37&lt;N$6,$B37+gen_uitsp_termijn&gt;=N$6),IF($B37+gen_uitsp_termijn&lt;MAX(Afschrijvingen!$C$6:$AB$6),gen_uitsp_termijn,MAX(Afschrijvingen!$C$6:$AB$6)-$B37))</f>
        <v>0</v>
      </c>
      <c r="O37" s="43" t="b">
        <f>IF(AND($B37&lt;O$6,$B37+gen_uitsp_termijn&gt;=O$6),IF($B37+gen_uitsp_termijn&lt;MAX(Afschrijvingen!$C$6:$AB$6),gen_uitsp_termijn,MAX(Afschrijvingen!$C$6:$AB$6)-$B37))</f>
        <v>0</v>
      </c>
      <c r="P37" s="43" t="b">
        <f>IF(AND($B37&lt;P$6,$B37+gen_uitsp_termijn&gt;=P$6),IF($B37+gen_uitsp_termijn&lt;MAX(Afschrijvingen!$C$6:$AB$6),gen_uitsp_termijn,MAX(Afschrijvingen!$C$6:$AB$6)-$B37))</f>
        <v>0</v>
      </c>
      <c r="Q37" s="43" t="b">
        <f>IF(AND($B37&lt;Q$6,$B37+gen_uitsp_termijn&gt;=Q$6),IF($B37+gen_uitsp_termijn&lt;MAX(Afschrijvingen!$C$6:$AB$6),gen_uitsp_termijn,MAX(Afschrijvingen!$C$6:$AB$6)-$B37))</f>
        <v>0</v>
      </c>
      <c r="R37" s="43" t="b">
        <f>IF(AND($B37&lt;R$6,$B37+gen_uitsp_termijn&gt;=R$6),IF($B37+gen_uitsp_termijn&lt;MAX(Afschrijvingen!$C$6:$AB$6),gen_uitsp_termijn,MAX(Afschrijvingen!$C$6:$AB$6)-$B37))</f>
        <v>0</v>
      </c>
      <c r="S37" s="43" t="b">
        <f>IF(AND($B37&lt;S$6,$B37+gen_uitsp_termijn&gt;=S$6),IF($B37+gen_uitsp_termijn&lt;MAX(Afschrijvingen!$C$6:$AB$6),gen_uitsp_termijn,MAX(Afschrijvingen!$C$6:$AB$6)-$B37))</f>
        <v>0</v>
      </c>
      <c r="T37" s="43" t="b">
        <f>IF(AND($B37&lt;T$6,$B37+gen_uitsp_termijn&gt;=T$6),IF($B37+gen_uitsp_termijn&lt;MAX(Afschrijvingen!$C$6:$AB$6),gen_uitsp_termijn,MAX(Afschrijvingen!$C$6:$AB$6)-$B37))</f>
        <v>0</v>
      </c>
      <c r="U37" s="43" t="b">
        <f>IF(AND($B37&lt;U$6,$B37+gen_uitsp_termijn&gt;=U$6),IF($B37+gen_uitsp_termijn&lt;MAX(Afschrijvingen!$C$6:$AB$6),gen_uitsp_termijn,MAX(Afschrijvingen!$C$6:$AB$6)-$B37))</f>
        <v>0</v>
      </c>
      <c r="V37" s="43" t="b">
        <f>IF(AND($B37&lt;V$6,$B37+gen_uitsp_termijn&gt;=V$6),IF($B37+gen_uitsp_termijn&lt;MAX(Afschrijvingen!$C$6:$AB$6),gen_uitsp_termijn,MAX(Afschrijvingen!$C$6:$AB$6)-$B37))</f>
        <v>0</v>
      </c>
      <c r="W37" s="43" t="b">
        <f>IF(AND($B37&lt;W$6,$B37+gen_uitsp_termijn&gt;=W$6),IF($B37+gen_uitsp_termijn&lt;MAX(Afschrijvingen!$C$6:$AB$6),gen_uitsp_termijn,MAX(Afschrijvingen!$C$6:$AB$6)-$B37))</f>
        <v>0</v>
      </c>
      <c r="X37" s="43" t="b">
        <f>IF(AND($B37&lt;X$6,$B37+gen_uitsp_termijn&gt;=X$6),IF($B37+gen_uitsp_termijn&lt;MAX(Afschrijvingen!$C$6:$AB$6),gen_uitsp_termijn,MAX(Afschrijvingen!$C$6:$AB$6)-$B37))</f>
        <v>0</v>
      </c>
      <c r="Y37" s="43" t="b">
        <f>IF(AND($B37&lt;Y$6,$B37+gen_uitsp_termijn&gt;=Y$6),IF($B37+gen_uitsp_termijn&lt;MAX(Afschrijvingen!$C$6:$AB$6),gen_uitsp_termijn,MAX(Afschrijvingen!$C$6:$AB$6)-$B37))</f>
        <v>0</v>
      </c>
      <c r="Z37" s="43" t="b">
        <f>IF(AND($B37&lt;Z$6,$B37+gen_uitsp_termijn&gt;=Z$6),IF($B37+gen_uitsp_termijn&lt;MAX(Afschrijvingen!$C$6:$AB$6),gen_uitsp_termijn,MAX(Afschrijvingen!$C$6:$AB$6)-$B37))</f>
        <v>0</v>
      </c>
      <c r="AA37" s="43" t="b">
        <f>IF(AND($B37&lt;AA$6,$B37+gen_uitsp_termijn&gt;=AA$6),IF($B37+gen_uitsp_termijn&lt;MAX(Afschrijvingen!$C$6:$AB$6),gen_uitsp_termijn,MAX(Afschrijvingen!$C$6:$AB$6)-$B37))</f>
        <v>0</v>
      </c>
      <c r="AB37" s="43" t="b">
        <f>IF(AND($B37&lt;AB$6,$B37+gen_uitsp_termijn&gt;=AB$6),IF($B37+gen_uitsp_termijn&lt;MAX(Afschrijvingen!$C$6:$AB$6),gen_uitsp_termijn,MAX(Afschrijvingen!$C$6:$AB$6)-$B37))</f>
        <v>0</v>
      </c>
    </row>
    <row r="38" spans="1:29" s="4" customFormat="1" ht="12" x14ac:dyDescent="0.2">
      <c r="A38" s="21" t="s">
        <v>190</v>
      </c>
      <c r="B38" s="21">
        <v>0</v>
      </c>
      <c r="C38" s="24">
        <f t="shared" ref="C38:AB38" si="4">IF(C12,-$C$9/C12,0)</f>
        <v>0</v>
      </c>
      <c r="D38" s="24">
        <f>IF(D12,-$C$9/D12,0)</f>
        <v>-54235.537190082643</v>
      </c>
      <c r="E38" s="24">
        <f t="shared" si="4"/>
        <v>-54235.537190082643</v>
      </c>
      <c r="F38" s="24">
        <f t="shared" si="4"/>
        <v>-54235.537190082643</v>
      </c>
      <c r="G38" s="24">
        <f t="shared" si="4"/>
        <v>-54235.537190082643</v>
      </c>
      <c r="H38" s="24">
        <f t="shared" si="4"/>
        <v>-54235.537190082643</v>
      </c>
      <c r="I38" s="24">
        <f t="shared" si="4"/>
        <v>-54235.537190082643</v>
      </c>
      <c r="J38" s="24">
        <f t="shared" si="4"/>
        <v>-54235.537190082643</v>
      </c>
      <c r="K38" s="24">
        <f t="shared" si="4"/>
        <v>-54235.537190082643</v>
      </c>
      <c r="L38" s="24">
        <f t="shared" si="4"/>
        <v>-54235.537190082643</v>
      </c>
      <c r="M38" s="24">
        <f t="shared" si="4"/>
        <v>-54235.537190082643</v>
      </c>
      <c r="N38" s="24">
        <f t="shared" si="4"/>
        <v>-54235.537190082643</v>
      </c>
      <c r="O38" s="24">
        <f t="shared" si="4"/>
        <v>-54235.537190082643</v>
      </c>
      <c r="P38" s="24">
        <f t="shared" si="4"/>
        <v>-54235.537190082643</v>
      </c>
      <c r="Q38" s="24">
        <f t="shared" si="4"/>
        <v>-54235.537190082643</v>
      </c>
      <c r="R38" s="24">
        <f t="shared" si="4"/>
        <v>-54235.537190082643</v>
      </c>
      <c r="S38" s="24">
        <f t="shared" si="4"/>
        <v>-54235.537190082643</v>
      </c>
      <c r="T38" s="24">
        <f t="shared" si="4"/>
        <v>-54235.537190082643</v>
      </c>
      <c r="U38" s="24">
        <f t="shared" si="4"/>
        <v>-54235.537190082643</v>
      </c>
      <c r="V38" s="24">
        <f t="shared" si="4"/>
        <v>-54235.537190082643</v>
      </c>
      <c r="W38" s="24">
        <f t="shared" si="4"/>
        <v>-54235.537190082643</v>
      </c>
      <c r="X38" s="24">
        <f t="shared" si="4"/>
        <v>0</v>
      </c>
      <c r="Y38" s="24">
        <f t="shared" si="4"/>
        <v>0</v>
      </c>
      <c r="Z38" s="24">
        <f t="shared" si="4"/>
        <v>0</v>
      </c>
      <c r="AA38" s="24">
        <f t="shared" si="4"/>
        <v>0</v>
      </c>
      <c r="AB38" s="24">
        <f t="shared" si="4"/>
        <v>0</v>
      </c>
      <c r="AC38" s="21"/>
    </row>
    <row r="39" spans="1:29" s="4" customFormat="1" ht="12" x14ac:dyDescent="0.2">
      <c r="A39" s="21" t="s">
        <v>191</v>
      </c>
      <c r="B39" s="21">
        <v>1</v>
      </c>
      <c r="C39" s="24">
        <f t="shared" ref="C39:AB39" si="5">IF(C13,-$D$9/C13,0)</f>
        <v>0</v>
      </c>
      <c r="D39" s="24">
        <f t="shared" si="5"/>
        <v>0</v>
      </c>
      <c r="E39" s="24">
        <f t="shared" si="5"/>
        <v>-1084.7107438016531</v>
      </c>
      <c r="F39" s="24">
        <f t="shared" si="5"/>
        <v>-1084.7107438016531</v>
      </c>
      <c r="G39" s="24">
        <f t="shared" si="5"/>
        <v>-1084.7107438016531</v>
      </c>
      <c r="H39" s="24">
        <f t="shared" si="5"/>
        <v>-1084.7107438016531</v>
      </c>
      <c r="I39" s="24">
        <f t="shared" si="5"/>
        <v>-1084.7107438016531</v>
      </c>
      <c r="J39" s="24">
        <f t="shared" si="5"/>
        <v>-1084.7107438016531</v>
      </c>
      <c r="K39" s="24">
        <f t="shared" si="5"/>
        <v>-1084.7107438016531</v>
      </c>
      <c r="L39" s="24">
        <f t="shared" si="5"/>
        <v>-1084.7107438016531</v>
      </c>
      <c r="M39" s="24">
        <f t="shared" si="5"/>
        <v>-1084.7107438016531</v>
      </c>
      <c r="N39" s="24">
        <f t="shared" si="5"/>
        <v>-1084.7107438016531</v>
      </c>
      <c r="O39" s="24">
        <f t="shared" si="5"/>
        <v>-1084.7107438016531</v>
      </c>
      <c r="P39" s="24">
        <f t="shared" si="5"/>
        <v>-1084.7107438016531</v>
      </c>
      <c r="Q39" s="24">
        <f t="shared" si="5"/>
        <v>-1084.7107438016531</v>
      </c>
      <c r="R39" s="24">
        <f t="shared" si="5"/>
        <v>-1084.7107438016531</v>
      </c>
      <c r="S39" s="24">
        <f t="shared" si="5"/>
        <v>-1084.7107438016531</v>
      </c>
      <c r="T39" s="24">
        <f t="shared" si="5"/>
        <v>-1084.7107438016531</v>
      </c>
      <c r="U39" s="24">
        <f t="shared" si="5"/>
        <v>-1084.7107438016531</v>
      </c>
      <c r="V39" s="24">
        <f t="shared" si="5"/>
        <v>-1084.7107438016531</v>
      </c>
      <c r="W39" s="24">
        <f t="shared" si="5"/>
        <v>-1084.7107438016531</v>
      </c>
      <c r="X39" s="24">
        <f t="shared" si="5"/>
        <v>-1084.7107438016531</v>
      </c>
      <c r="Y39" s="24">
        <f t="shared" si="5"/>
        <v>0</v>
      </c>
      <c r="Z39" s="24">
        <f t="shared" si="5"/>
        <v>0</v>
      </c>
      <c r="AA39" s="24">
        <f t="shared" si="5"/>
        <v>0</v>
      </c>
      <c r="AB39" s="24">
        <f t="shared" si="5"/>
        <v>0</v>
      </c>
      <c r="AC39" s="21"/>
    </row>
    <row r="40" spans="1:29" x14ac:dyDescent="0.25">
      <c r="A40" s="21" t="s">
        <v>192</v>
      </c>
      <c r="B40" s="21">
        <v>2</v>
      </c>
      <c r="C40" s="24">
        <f t="shared" ref="C40:AB40" si="6">IF(C14,-$E$9/C14,0)</f>
        <v>0</v>
      </c>
      <c r="D40" s="24">
        <f t="shared" si="6"/>
        <v>0</v>
      </c>
      <c r="E40" s="24">
        <f t="shared" si="6"/>
        <v>0</v>
      </c>
      <c r="F40" s="24">
        <f t="shared" si="6"/>
        <v>-1041.3223140495934</v>
      </c>
      <c r="G40" s="24">
        <f t="shared" si="6"/>
        <v>-1041.3223140495934</v>
      </c>
      <c r="H40" s="24">
        <f t="shared" si="6"/>
        <v>-1041.3223140495934</v>
      </c>
      <c r="I40" s="24">
        <f t="shared" si="6"/>
        <v>-1041.3223140495934</v>
      </c>
      <c r="J40" s="24">
        <f t="shared" si="6"/>
        <v>-1041.3223140495934</v>
      </c>
      <c r="K40" s="24">
        <f t="shared" si="6"/>
        <v>-1041.3223140495934</v>
      </c>
      <c r="L40" s="24">
        <f t="shared" si="6"/>
        <v>-1041.3223140495934</v>
      </c>
      <c r="M40" s="24">
        <f t="shared" si="6"/>
        <v>-1041.3223140495934</v>
      </c>
      <c r="N40" s="24">
        <f t="shared" si="6"/>
        <v>-1041.3223140495934</v>
      </c>
      <c r="O40" s="24">
        <f t="shared" si="6"/>
        <v>-1041.3223140495934</v>
      </c>
      <c r="P40" s="24">
        <f t="shared" si="6"/>
        <v>-1041.3223140495934</v>
      </c>
      <c r="Q40" s="24">
        <f t="shared" si="6"/>
        <v>-1041.3223140495934</v>
      </c>
      <c r="R40" s="24">
        <f t="shared" si="6"/>
        <v>-1041.3223140495934</v>
      </c>
      <c r="S40" s="24">
        <f t="shared" si="6"/>
        <v>-1041.3223140495934</v>
      </c>
      <c r="T40" s="24">
        <f t="shared" si="6"/>
        <v>-1041.3223140495934</v>
      </c>
      <c r="U40" s="24">
        <f t="shared" si="6"/>
        <v>-1041.3223140495934</v>
      </c>
      <c r="V40" s="24">
        <f t="shared" si="6"/>
        <v>-1041.3223140495934</v>
      </c>
      <c r="W40" s="24">
        <f t="shared" si="6"/>
        <v>-1041.3223140495934</v>
      </c>
      <c r="X40" s="24">
        <f t="shared" si="6"/>
        <v>-1041.3223140495934</v>
      </c>
      <c r="Y40" s="24">
        <f t="shared" si="6"/>
        <v>-1041.3223140495934</v>
      </c>
      <c r="Z40" s="24">
        <f t="shared" si="6"/>
        <v>0</v>
      </c>
      <c r="AA40" s="24">
        <f t="shared" si="6"/>
        <v>0</v>
      </c>
      <c r="AB40" s="24">
        <f t="shared" si="6"/>
        <v>0</v>
      </c>
    </row>
    <row r="41" spans="1:29" x14ac:dyDescent="0.25">
      <c r="A41" s="21" t="s">
        <v>193</v>
      </c>
      <c r="B41" s="21">
        <v>3</v>
      </c>
      <c r="C41" s="24">
        <f t="shared" ref="C41:AB41" si="7">IF(C15,-$F$9/C15,0)</f>
        <v>0</v>
      </c>
      <c r="D41" s="24">
        <f t="shared" si="7"/>
        <v>0</v>
      </c>
      <c r="E41" s="24">
        <f t="shared" si="7"/>
        <v>0</v>
      </c>
      <c r="F41" s="24">
        <f t="shared" si="7"/>
        <v>0</v>
      </c>
      <c r="G41" s="24">
        <f t="shared" si="7"/>
        <v>-999.66942148760029</v>
      </c>
      <c r="H41" s="24">
        <f t="shared" si="7"/>
        <v>-999.66942148760029</v>
      </c>
      <c r="I41" s="24">
        <f t="shared" si="7"/>
        <v>-999.66942148760029</v>
      </c>
      <c r="J41" s="24">
        <f t="shared" si="7"/>
        <v>-999.66942148760029</v>
      </c>
      <c r="K41" s="24">
        <f t="shared" si="7"/>
        <v>-999.66942148760029</v>
      </c>
      <c r="L41" s="24">
        <f t="shared" si="7"/>
        <v>-999.66942148760029</v>
      </c>
      <c r="M41" s="24">
        <f t="shared" si="7"/>
        <v>-999.66942148760029</v>
      </c>
      <c r="N41" s="24">
        <f t="shared" si="7"/>
        <v>-999.66942148760029</v>
      </c>
      <c r="O41" s="24">
        <f t="shared" si="7"/>
        <v>-999.66942148760029</v>
      </c>
      <c r="P41" s="24">
        <f t="shared" si="7"/>
        <v>-999.66942148760029</v>
      </c>
      <c r="Q41" s="24">
        <f t="shared" si="7"/>
        <v>-999.66942148760029</v>
      </c>
      <c r="R41" s="24">
        <f t="shared" si="7"/>
        <v>-999.66942148760029</v>
      </c>
      <c r="S41" s="24">
        <f t="shared" si="7"/>
        <v>-999.66942148760029</v>
      </c>
      <c r="T41" s="24">
        <f t="shared" si="7"/>
        <v>-999.66942148760029</v>
      </c>
      <c r="U41" s="24">
        <f t="shared" si="7"/>
        <v>-999.66942148760029</v>
      </c>
      <c r="V41" s="24">
        <f t="shared" si="7"/>
        <v>-999.66942148760029</v>
      </c>
      <c r="W41" s="24">
        <f t="shared" si="7"/>
        <v>-999.66942148760029</v>
      </c>
      <c r="X41" s="24">
        <f t="shared" si="7"/>
        <v>-999.66942148760029</v>
      </c>
      <c r="Y41" s="24">
        <f t="shared" si="7"/>
        <v>-999.66942148760029</v>
      </c>
      <c r="Z41" s="24">
        <f t="shared" si="7"/>
        <v>-999.66942148760029</v>
      </c>
      <c r="AA41" s="24">
        <f t="shared" si="7"/>
        <v>0</v>
      </c>
      <c r="AB41" s="24">
        <f t="shared" si="7"/>
        <v>0</v>
      </c>
    </row>
    <row r="42" spans="1:29" x14ac:dyDescent="0.25">
      <c r="A42" s="21" t="s">
        <v>194</v>
      </c>
      <c r="B42" s="21">
        <v>4</v>
      </c>
      <c r="C42" s="24">
        <f t="shared" ref="C42:AB42" si="8">IF(C16,-$G$9/C16,0)</f>
        <v>0</v>
      </c>
      <c r="D42" s="24">
        <f t="shared" si="8"/>
        <v>0</v>
      </c>
      <c r="E42" s="24">
        <f t="shared" si="8"/>
        <v>0</v>
      </c>
      <c r="F42" s="24">
        <f t="shared" si="8"/>
        <v>0</v>
      </c>
      <c r="G42" s="24">
        <f t="shared" si="8"/>
        <v>0</v>
      </c>
      <c r="H42" s="24">
        <f t="shared" si="8"/>
        <v>-959.68264462809714</v>
      </c>
      <c r="I42" s="24">
        <f t="shared" si="8"/>
        <v>-959.68264462809714</v>
      </c>
      <c r="J42" s="24">
        <f t="shared" si="8"/>
        <v>-959.68264462809714</v>
      </c>
      <c r="K42" s="24">
        <f t="shared" si="8"/>
        <v>-959.68264462809714</v>
      </c>
      <c r="L42" s="24">
        <f t="shared" si="8"/>
        <v>-959.68264462809714</v>
      </c>
      <c r="M42" s="24">
        <f t="shared" si="8"/>
        <v>-959.68264462809714</v>
      </c>
      <c r="N42" s="24">
        <f t="shared" si="8"/>
        <v>-959.68264462809714</v>
      </c>
      <c r="O42" s="24">
        <f t="shared" si="8"/>
        <v>-959.68264462809714</v>
      </c>
      <c r="P42" s="24">
        <f t="shared" si="8"/>
        <v>-959.68264462809714</v>
      </c>
      <c r="Q42" s="24">
        <f t="shared" si="8"/>
        <v>-959.68264462809714</v>
      </c>
      <c r="R42" s="24">
        <f t="shared" si="8"/>
        <v>-959.68264462809714</v>
      </c>
      <c r="S42" s="24">
        <f t="shared" si="8"/>
        <v>-959.68264462809714</v>
      </c>
      <c r="T42" s="24">
        <f t="shared" si="8"/>
        <v>-959.68264462809714</v>
      </c>
      <c r="U42" s="24">
        <f t="shared" si="8"/>
        <v>-959.68264462809714</v>
      </c>
      <c r="V42" s="24">
        <f t="shared" si="8"/>
        <v>-959.68264462809714</v>
      </c>
      <c r="W42" s="24">
        <f t="shared" si="8"/>
        <v>-959.68264462809714</v>
      </c>
      <c r="X42" s="24">
        <f t="shared" si="8"/>
        <v>-959.68264462809714</v>
      </c>
      <c r="Y42" s="24">
        <f t="shared" si="8"/>
        <v>-959.68264462809714</v>
      </c>
      <c r="Z42" s="24">
        <f t="shared" si="8"/>
        <v>-959.68264462809714</v>
      </c>
      <c r="AA42" s="24">
        <f t="shared" si="8"/>
        <v>-959.68264462809714</v>
      </c>
      <c r="AB42" s="24">
        <f t="shared" si="8"/>
        <v>0</v>
      </c>
    </row>
    <row r="43" spans="1:29" x14ac:dyDescent="0.25">
      <c r="A43" s="21" t="s">
        <v>195</v>
      </c>
      <c r="B43" s="21">
        <v>5</v>
      </c>
      <c r="C43" s="24">
        <f t="shared" ref="C43:AB43" si="9">IF(C17,-$H$9/C17,0)</f>
        <v>0</v>
      </c>
      <c r="D43" s="24">
        <f t="shared" si="9"/>
        <v>0</v>
      </c>
      <c r="E43" s="24">
        <f t="shared" si="9"/>
        <v>0</v>
      </c>
      <c r="F43" s="24">
        <f t="shared" si="9"/>
        <v>0</v>
      </c>
      <c r="G43" s="24">
        <f t="shared" si="9"/>
        <v>0</v>
      </c>
      <c r="H43" s="24">
        <f t="shared" si="9"/>
        <v>0</v>
      </c>
      <c r="I43" s="24">
        <f t="shared" si="9"/>
        <v>-921.29533884297086</v>
      </c>
      <c r="J43" s="24">
        <f t="shared" si="9"/>
        <v>-921.29533884297086</v>
      </c>
      <c r="K43" s="24">
        <f t="shared" si="9"/>
        <v>-921.29533884297086</v>
      </c>
      <c r="L43" s="24">
        <f t="shared" si="9"/>
        <v>-921.29533884297086</v>
      </c>
      <c r="M43" s="24">
        <f t="shared" si="9"/>
        <v>-921.29533884297086</v>
      </c>
      <c r="N43" s="24">
        <f t="shared" si="9"/>
        <v>-921.29533884297086</v>
      </c>
      <c r="O43" s="24">
        <f t="shared" si="9"/>
        <v>-921.29533884297086</v>
      </c>
      <c r="P43" s="24">
        <f t="shared" si="9"/>
        <v>-921.29533884297086</v>
      </c>
      <c r="Q43" s="24">
        <f t="shared" si="9"/>
        <v>-921.29533884297086</v>
      </c>
      <c r="R43" s="24">
        <f t="shared" si="9"/>
        <v>-921.29533884297086</v>
      </c>
      <c r="S43" s="24">
        <f t="shared" si="9"/>
        <v>-921.29533884297086</v>
      </c>
      <c r="T43" s="24">
        <f t="shared" si="9"/>
        <v>-921.29533884297086</v>
      </c>
      <c r="U43" s="24">
        <f t="shared" si="9"/>
        <v>-921.29533884297086</v>
      </c>
      <c r="V43" s="24">
        <f t="shared" si="9"/>
        <v>-921.29533884297086</v>
      </c>
      <c r="W43" s="24">
        <f t="shared" si="9"/>
        <v>-921.29533884297086</v>
      </c>
      <c r="X43" s="24">
        <f t="shared" si="9"/>
        <v>-921.29533884297086</v>
      </c>
      <c r="Y43" s="24">
        <f t="shared" si="9"/>
        <v>-921.29533884297086</v>
      </c>
      <c r="Z43" s="24">
        <f t="shared" si="9"/>
        <v>-921.29533884297086</v>
      </c>
      <c r="AA43" s="24">
        <f t="shared" si="9"/>
        <v>-921.29533884297086</v>
      </c>
      <c r="AB43" s="24">
        <f t="shared" si="9"/>
        <v>-921.29533884297086</v>
      </c>
    </row>
    <row r="44" spans="1:29" x14ac:dyDescent="0.25">
      <c r="A44" s="21" t="s">
        <v>196</v>
      </c>
      <c r="B44" s="21">
        <v>6</v>
      </c>
      <c r="C44" s="24">
        <f t="shared" ref="C44:AB44" si="10">IF(C18,-$I$9/C18,0)</f>
        <v>0</v>
      </c>
      <c r="D44" s="24">
        <f t="shared" si="10"/>
        <v>0</v>
      </c>
      <c r="E44" s="24">
        <f t="shared" si="10"/>
        <v>0</v>
      </c>
      <c r="F44" s="24">
        <f t="shared" si="10"/>
        <v>0</v>
      </c>
      <c r="G44" s="24">
        <f t="shared" si="10"/>
        <v>0</v>
      </c>
      <c r="H44" s="24">
        <f t="shared" si="10"/>
        <v>0</v>
      </c>
      <c r="I44" s="24">
        <f t="shared" si="10"/>
        <v>0</v>
      </c>
      <c r="J44" s="24">
        <f t="shared" si="10"/>
        <v>-930.99318451501426</v>
      </c>
      <c r="K44" s="24">
        <f t="shared" si="10"/>
        <v>-930.99318451501426</v>
      </c>
      <c r="L44" s="24">
        <f t="shared" si="10"/>
        <v>-930.99318451501426</v>
      </c>
      <c r="M44" s="24">
        <f t="shared" si="10"/>
        <v>-930.99318451501426</v>
      </c>
      <c r="N44" s="24">
        <f t="shared" si="10"/>
        <v>-930.99318451501426</v>
      </c>
      <c r="O44" s="24">
        <f t="shared" si="10"/>
        <v>-930.99318451501426</v>
      </c>
      <c r="P44" s="24">
        <f t="shared" si="10"/>
        <v>-930.99318451501426</v>
      </c>
      <c r="Q44" s="24">
        <f t="shared" si="10"/>
        <v>-930.99318451501426</v>
      </c>
      <c r="R44" s="24">
        <f t="shared" si="10"/>
        <v>-930.99318451501426</v>
      </c>
      <c r="S44" s="24">
        <f t="shared" si="10"/>
        <v>-930.99318451501426</v>
      </c>
      <c r="T44" s="24">
        <f t="shared" si="10"/>
        <v>-930.99318451501426</v>
      </c>
      <c r="U44" s="24">
        <f t="shared" si="10"/>
        <v>-930.99318451501426</v>
      </c>
      <c r="V44" s="24">
        <f t="shared" si="10"/>
        <v>-930.99318451501426</v>
      </c>
      <c r="W44" s="24">
        <f t="shared" si="10"/>
        <v>-930.99318451501426</v>
      </c>
      <c r="X44" s="24">
        <f t="shared" si="10"/>
        <v>-930.99318451501426</v>
      </c>
      <c r="Y44" s="24">
        <f t="shared" si="10"/>
        <v>-930.99318451501426</v>
      </c>
      <c r="Z44" s="24">
        <f t="shared" si="10"/>
        <v>-930.99318451501426</v>
      </c>
      <c r="AA44" s="24">
        <f t="shared" si="10"/>
        <v>-930.99318451501426</v>
      </c>
      <c r="AB44" s="24">
        <f t="shared" si="10"/>
        <v>-930.99318451501426</v>
      </c>
    </row>
    <row r="45" spans="1:29" x14ac:dyDescent="0.25">
      <c r="A45" s="21" t="s">
        <v>197</v>
      </c>
      <c r="B45" s="21">
        <v>7</v>
      </c>
      <c r="C45" s="24">
        <f t="shared" ref="C45:AB45" si="11">IF(C19,-$J$9/C19,0)</f>
        <v>0</v>
      </c>
      <c r="D45" s="24">
        <f t="shared" si="11"/>
        <v>0</v>
      </c>
      <c r="E45" s="24">
        <f t="shared" si="11"/>
        <v>0</v>
      </c>
      <c r="F45" s="24">
        <f t="shared" si="11"/>
        <v>0</v>
      </c>
      <c r="G45" s="24">
        <f t="shared" si="11"/>
        <v>0</v>
      </c>
      <c r="H45" s="24">
        <f t="shared" si="11"/>
        <v>0</v>
      </c>
      <c r="I45" s="24">
        <f t="shared" si="11"/>
        <v>0</v>
      </c>
      <c r="J45" s="24">
        <f t="shared" si="11"/>
        <v>0</v>
      </c>
      <c r="K45" s="24">
        <f t="shared" si="11"/>
        <v>-943.40642697520548</v>
      </c>
      <c r="L45" s="24">
        <f t="shared" si="11"/>
        <v>-943.40642697520548</v>
      </c>
      <c r="M45" s="24">
        <f t="shared" si="11"/>
        <v>-943.40642697520548</v>
      </c>
      <c r="N45" s="24">
        <f t="shared" si="11"/>
        <v>-943.40642697520548</v>
      </c>
      <c r="O45" s="24">
        <f t="shared" si="11"/>
        <v>-943.40642697520548</v>
      </c>
      <c r="P45" s="24">
        <f t="shared" si="11"/>
        <v>-943.40642697520548</v>
      </c>
      <c r="Q45" s="24">
        <f t="shared" si="11"/>
        <v>-943.40642697520548</v>
      </c>
      <c r="R45" s="24">
        <f t="shared" si="11"/>
        <v>-943.40642697520548</v>
      </c>
      <c r="S45" s="24">
        <f t="shared" si="11"/>
        <v>-943.40642697520548</v>
      </c>
      <c r="T45" s="24">
        <f t="shared" si="11"/>
        <v>-943.40642697520548</v>
      </c>
      <c r="U45" s="24">
        <f t="shared" si="11"/>
        <v>-943.40642697520548</v>
      </c>
      <c r="V45" s="24">
        <f t="shared" si="11"/>
        <v>-943.40642697520548</v>
      </c>
      <c r="W45" s="24">
        <f t="shared" si="11"/>
        <v>-943.40642697520548</v>
      </c>
      <c r="X45" s="24">
        <f t="shared" si="11"/>
        <v>-943.40642697520548</v>
      </c>
      <c r="Y45" s="24">
        <f t="shared" si="11"/>
        <v>-943.40642697520548</v>
      </c>
      <c r="Z45" s="24">
        <f t="shared" si="11"/>
        <v>-943.40642697520548</v>
      </c>
      <c r="AA45" s="24">
        <f t="shared" si="11"/>
        <v>-943.40642697520548</v>
      </c>
      <c r="AB45" s="24">
        <f t="shared" si="11"/>
        <v>-943.40642697520548</v>
      </c>
    </row>
    <row r="46" spans="1:29" x14ac:dyDescent="0.25">
      <c r="A46" s="21" t="s">
        <v>198</v>
      </c>
      <c r="B46" s="21">
        <v>8</v>
      </c>
      <c r="C46" s="24">
        <f t="shared" ref="C46:AB46" si="12">IF(C20,-$K$9/C20,0)</f>
        <v>0</v>
      </c>
      <c r="D46" s="24">
        <f t="shared" si="12"/>
        <v>0</v>
      </c>
      <c r="E46" s="24">
        <f t="shared" si="12"/>
        <v>0</v>
      </c>
      <c r="F46" s="24">
        <f t="shared" si="12"/>
        <v>0</v>
      </c>
      <c r="G46" s="24">
        <f t="shared" si="12"/>
        <v>0</v>
      </c>
      <c r="H46" s="24">
        <f t="shared" si="12"/>
        <v>0</v>
      </c>
      <c r="I46" s="24">
        <f t="shared" si="12"/>
        <v>0</v>
      </c>
      <c r="J46" s="24">
        <f t="shared" si="12"/>
        <v>0</v>
      </c>
      <c r="K46" s="24">
        <f t="shared" si="12"/>
        <v>0</v>
      </c>
      <c r="L46" s="24">
        <f t="shared" si="12"/>
        <v>-958.94488577243783</v>
      </c>
      <c r="M46" s="24">
        <f t="shared" si="12"/>
        <v>-958.94488577243783</v>
      </c>
      <c r="N46" s="24">
        <f t="shared" si="12"/>
        <v>-958.94488577243783</v>
      </c>
      <c r="O46" s="24">
        <f t="shared" si="12"/>
        <v>-958.94488577243783</v>
      </c>
      <c r="P46" s="24">
        <f t="shared" si="12"/>
        <v>-958.94488577243783</v>
      </c>
      <c r="Q46" s="24">
        <f t="shared" si="12"/>
        <v>-958.94488577243783</v>
      </c>
      <c r="R46" s="24">
        <f t="shared" si="12"/>
        <v>-958.94488577243783</v>
      </c>
      <c r="S46" s="24">
        <f t="shared" si="12"/>
        <v>-958.94488577243783</v>
      </c>
      <c r="T46" s="24">
        <f t="shared" si="12"/>
        <v>-958.94488577243783</v>
      </c>
      <c r="U46" s="24">
        <f t="shared" si="12"/>
        <v>-958.94488577243783</v>
      </c>
      <c r="V46" s="24">
        <f t="shared" si="12"/>
        <v>-958.94488577243783</v>
      </c>
      <c r="W46" s="24">
        <f t="shared" si="12"/>
        <v>-958.94488577243783</v>
      </c>
      <c r="X46" s="24">
        <f t="shared" si="12"/>
        <v>-958.94488577243783</v>
      </c>
      <c r="Y46" s="24">
        <f t="shared" si="12"/>
        <v>-958.94488577243783</v>
      </c>
      <c r="Z46" s="24">
        <f t="shared" si="12"/>
        <v>-958.94488577243783</v>
      </c>
      <c r="AA46" s="24">
        <f t="shared" si="12"/>
        <v>-958.94488577243783</v>
      </c>
      <c r="AB46" s="24">
        <f t="shared" si="12"/>
        <v>-958.94488577243783</v>
      </c>
    </row>
    <row r="47" spans="1:29" x14ac:dyDescent="0.25">
      <c r="A47" s="21" t="s">
        <v>199</v>
      </c>
      <c r="B47" s="21">
        <v>9</v>
      </c>
      <c r="C47" s="24">
        <f t="shared" ref="C47:AB47" si="13">IF(C21,-$L$9/C21,0)</f>
        <v>0</v>
      </c>
      <c r="D47" s="24">
        <f t="shared" si="13"/>
        <v>0</v>
      </c>
      <c r="E47" s="24">
        <f t="shared" si="13"/>
        <v>0</v>
      </c>
      <c r="F47" s="24">
        <f t="shared" si="13"/>
        <v>0</v>
      </c>
      <c r="G47" s="24">
        <f t="shared" si="13"/>
        <v>0</v>
      </c>
      <c r="H47" s="24">
        <f t="shared" si="13"/>
        <v>0</v>
      </c>
      <c r="I47" s="24">
        <f t="shared" si="13"/>
        <v>0</v>
      </c>
      <c r="J47" s="24">
        <f t="shared" si="13"/>
        <v>0</v>
      </c>
      <c r="K47" s="24">
        <f t="shared" si="13"/>
        <v>0</v>
      </c>
      <c r="L47" s="24">
        <f t="shared" si="13"/>
        <v>0</v>
      </c>
      <c r="M47" s="24">
        <f t="shared" si="13"/>
        <v>-978.12378348789446</v>
      </c>
      <c r="N47" s="24">
        <f t="shared" si="13"/>
        <v>-978.12378348789446</v>
      </c>
      <c r="O47" s="24">
        <f t="shared" si="13"/>
        <v>-978.12378348789446</v>
      </c>
      <c r="P47" s="24">
        <f t="shared" si="13"/>
        <v>-978.12378348789446</v>
      </c>
      <c r="Q47" s="24">
        <f t="shared" si="13"/>
        <v>-978.12378348789446</v>
      </c>
      <c r="R47" s="24">
        <f t="shared" si="13"/>
        <v>-978.12378348789446</v>
      </c>
      <c r="S47" s="24">
        <f t="shared" si="13"/>
        <v>-978.12378348789446</v>
      </c>
      <c r="T47" s="24">
        <f t="shared" si="13"/>
        <v>-978.12378348789446</v>
      </c>
      <c r="U47" s="24">
        <f t="shared" si="13"/>
        <v>-978.12378348789446</v>
      </c>
      <c r="V47" s="24">
        <f t="shared" si="13"/>
        <v>-978.12378348789446</v>
      </c>
      <c r="W47" s="24">
        <f t="shared" si="13"/>
        <v>-978.12378348789446</v>
      </c>
      <c r="X47" s="24">
        <f t="shared" si="13"/>
        <v>-978.12378348789446</v>
      </c>
      <c r="Y47" s="24">
        <f t="shared" si="13"/>
        <v>-978.12378348789446</v>
      </c>
      <c r="Z47" s="24">
        <f t="shared" si="13"/>
        <v>-978.12378348789446</v>
      </c>
      <c r="AA47" s="24">
        <f t="shared" si="13"/>
        <v>-978.12378348789446</v>
      </c>
      <c r="AB47" s="24">
        <f t="shared" si="13"/>
        <v>-978.12378348789446</v>
      </c>
    </row>
    <row r="48" spans="1:29" x14ac:dyDescent="0.25">
      <c r="A48" s="21" t="s">
        <v>200</v>
      </c>
      <c r="B48" s="21">
        <v>10</v>
      </c>
      <c r="C48" s="24">
        <f t="shared" ref="C48:AB48" si="14">IF(C22,-$M$9/C22,0)</f>
        <v>0</v>
      </c>
      <c r="D48" s="24">
        <f t="shared" si="14"/>
        <v>0</v>
      </c>
      <c r="E48" s="24">
        <f t="shared" si="14"/>
        <v>0</v>
      </c>
      <c r="F48" s="24">
        <f t="shared" si="14"/>
        <v>0</v>
      </c>
      <c r="G48" s="24">
        <f t="shared" si="14"/>
        <v>0</v>
      </c>
      <c r="H48" s="24">
        <f t="shared" si="14"/>
        <v>0</v>
      </c>
      <c r="I48" s="24">
        <f t="shared" si="14"/>
        <v>0</v>
      </c>
      <c r="J48" s="24">
        <f t="shared" si="14"/>
        <v>0</v>
      </c>
      <c r="K48" s="24">
        <f t="shared" si="14"/>
        <v>0</v>
      </c>
      <c r="L48" s="24">
        <f t="shared" si="14"/>
        <v>0</v>
      </c>
      <c r="M48" s="24">
        <f t="shared" si="14"/>
        <v>0</v>
      </c>
      <c r="N48" s="24">
        <f t="shared" si="14"/>
        <v>-1001.5987542916145</v>
      </c>
      <c r="O48" s="24">
        <f t="shared" si="14"/>
        <v>-1001.5987542916145</v>
      </c>
      <c r="P48" s="24">
        <f t="shared" si="14"/>
        <v>-1001.5987542916145</v>
      </c>
      <c r="Q48" s="24">
        <f t="shared" si="14"/>
        <v>-1001.5987542916145</v>
      </c>
      <c r="R48" s="24">
        <f t="shared" si="14"/>
        <v>-1001.5987542916145</v>
      </c>
      <c r="S48" s="24">
        <f t="shared" si="14"/>
        <v>-1001.5987542916145</v>
      </c>
      <c r="T48" s="24">
        <f t="shared" si="14"/>
        <v>-1001.5987542916145</v>
      </c>
      <c r="U48" s="24">
        <f t="shared" si="14"/>
        <v>-1001.5987542916145</v>
      </c>
      <c r="V48" s="24">
        <f t="shared" si="14"/>
        <v>-1001.5987542916145</v>
      </c>
      <c r="W48" s="24">
        <f t="shared" si="14"/>
        <v>-1001.5987542916145</v>
      </c>
      <c r="X48" s="24">
        <f t="shared" si="14"/>
        <v>-1001.5987542916145</v>
      </c>
      <c r="Y48" s="24">
        <f t="shared" si="14"/>
        <v>-1001.5987542916145</v>
      </c>
      <c r="Z48" s="24">
        <f t="shared" si="14"/>
        <v>-1001.5987542916145</v>
      </c>
      <c r="AA48" s="24">
        <f t="shared" si="14"/>
        <v>-1001.5987542916145</v>
      </c>
      <c r="AB48" s="24">
        <f t="shared" si="14"/>
        <v>-1001.5987542916145</v>
      </c>
    </row>
    <row r="49" spans="1:28" x14ac:dyDescent="0.25">
      <c r="A49" s="21" t="s">
        <v>201</v>
      </c>
      <c r="B49" s="21">
        <v>11</v>
      </c>
      <c r="C49" s="24">
        <f t="shared" ref="C49:AB49" si="15">IF(C23,-$N$9/C23,0)</f>
        <v>0</v>
      </c>
      <c r="D49" s="24">
        <f t="shared" si="15"/>
        <v>0</v>
      </c>
      <c r="E49" s="24">
        <f t="shared" si="15"/>
        <v>0</v>
      </c>
      <c r="F49" s="24">
        <f t="shared" si="15"/>
        <v>0</v>
      </c>
      <c r="G49" s="24">
        <f t="shared" si="15"/>
        <v>0</v>
      </c>
      <c r="H49" s="24">
        <f t="shared" si="15"/>
        <v>0</v>
      </c>
      <c r="I49" s="24">
        <f t="shared" si="15"/>
        <v>0</v>
      </c>
      <c r="J49" s="24">
        <f t="shared" si="15"/>
        <v>0</v>
      </c>
      <c r="K49" s="24">
        <f t="shared" si="15"/>
        <v>0</v>
      </c>
      <c r="L49" s="24">
        <f t="shared" si="15"/>
        <v>0</v>
      </c>
      <c r="M49" s="24">
        <f t="shared" si="15"/>
        <v>0</v>
      </c>
      <c r="N49" s="24">
        <f t="shared" si="15"/>
        <v>0</v>
      </c>
      <c r="O49" s="24">
        <f t="shared" si="15"/>
        <v>-1030.2158615570675</v>
      </c>
      <c r="P49" s="24">
        <f t="shared" si="15"/>
        <v>-1030.2158615570675</v>
      </c>
      <c r="Q49" s="24">
        <f t="shared" si="15"/>
        <v>-1030.2158615570675</v>
      </c>
      <c r="R49" s="24">
        <f t="shared" si="15"/>
        <v>-1030.2158615570675</v>
      </c>
      <c r="S49" s="24">
        <f t="shared" si="15"/>
        <v>-1030.2158615570675</v>
      </c>
      <c r="T49" s="24">
        <f t="shared" si="15"/>
        <v>-1030.2158615570675</v>
      </c>
      <c r="U49" s="24">
        <f t="shared" si="15"/>
        <v>-1030.2158615570675</v>
      </c>
      <c r="V49" s="24">
        <f t="shared" si="15"/>
        <v>-1030.2158615570675</v>
      </c>
      <c r="W49" s="24">
        <f t="shared" si="15"/>
        <v>-1030.2158615570675</v>
      </c>
      <c r="X49" s="24">
        <f t="shared" si="15"/>
        <v>-1030.2158615570675</v>
      </c>
      <c r="Y49" s="24">
        <f t="shared" si="15"/>
        <v>-1030.2158615570675</v>
      </c>
      <c r="Z49" s="24">
        <f t="shared" si="15"/>
        <v>-1030.2158615570675</v>
      </c>
      <c r="AA49" s="24">
        <f t="shared" si="15"/>
        <v>-1030.2158615570675</v>
      </c>
      <c r="AB49" s="24">
        <f t="shared" si="15"/>
        <v>-1030.2158615570675</v>
      </c>
    </row>
    <row r="50" spans="1:28" x14ac:dyDescent="0.25">
      <c r="A50" s="21" t="s">
        <v>202</v>
      </c>
      <c r="B50" s="21">
        <v>12</v>
      </c>
      <c r="C50" s="24">
        <f t="shared" ref="C50:AB50" si="16">IF(C24,-$O$9/C24,0)</f>
        <v>0</v>
      </c>
      <c r="D50" s="24">
        <f t="shared" si="16"/>
        <v>0</v>
      </c>
      <c r="E50" s="24">
        <f t="shared" si="16"/>
        <v>0</v>
      </c>
      <c r="F50" s="24">
        <f t="shared" si="16"/>
        <v>0</v>
      </c>
      <c r="G50" s="24">
        <f t="shared" si="16"/>
        <v>0</v>
      </c>
      <c r="H50" s="24">
        <f t="shared" si="16"/>
        <v>0</v>
      </c>
      <c r="I50" s="24">
        <f t="shared" si="16"/>
        <v>0</v>
      </c>
      <c r="J50" s="24">
        <f t="shared" si="16"/>
        <v>0</v>
      </c>
      <c r="K50" s="24">
        <f t="shared" si="16"/>
        <v>0</v>
      </c>
      <c r="L50" s="24">
        <f t="shared" si="16"/>
        <v>0</v>
      </c>
      <c r="M50" s="24">
        <f t="shared" si="16"/>
        <v>0</v>
      </c>
      <c r="N50" s="24">
        <f t="shared" si="16"/>
        <v>0</v>
      </c>
      <c r="O50" s="24">
        <f t="shared" si="16"/>
        <v>0</v>
      </c>
      <c r="P50" s="24">
        <f t="shared" si="16"/>
        <v>-1065.0847061020829</v>
      </c>
      <c r="Q50" s="24">
        <f t="shared" si="16"/>
        <v>-1065.0847061020829</v>
      </c>
      <c r="R50" s="24">
        <f t="shared" si="16"/>
        <v>-1065.0847061020829</v>
      </c>
      <c r="S50" s="24">
        <f t="shared" si="16"/>
        <v>-1065.0847061020829</v>
      </c>
      <c r="T50" s="24">
        <f t="shared" si="16"/>
        <v>-1065.0847061020829</v>
      </c>
      <c r="U50" s="24">
        <f t="shared" si="16"/>
        <v>-1065.0847061020829</v>
      </c>
      <c r="V50" s="24">
        <f t="shared" si="16"/>
        <v>-1065.0847061020829</v>
      </c>
      <c r="W50" s="24">
        <f t="shared" si="16"/>
        <v>-1065.0847061020829</v>
      </c>
      <c r="X50" s="24">
        <f t="shared" si="16"/>
        <v>-1065.0847061020829</v>
      </c>
      <c r="Y50" s="24">
        <f t="shared" si="16"/>
        <v>-1065.0847061020829</v>
      </c>
      <c r="Z50" s="24">
        <f t="shared" si="16"/>
        <v>-1065.0847061020829</v>
      </c>
      <c r="AA50" s="24">
        <f t="shared" si="16"/>
        <v>-1065.0847061020829</v>
      </c>
      <c r="AB50" s="24">
        <f t="shared" si="16"/>
        <v>-1065.0847061020829</v>
      </c>
    </row>
    <row r="51" spans="1:28" x14ac:dyDescent="0.25">
      <c r="A51" s="21" t="s">
        <v>203</v>
      </c>
      <c r="B51" s="21">
        <v>13</v>
      </c>
      <c r="C51" s="24">
        <f t="shared" ref="C51:AB51" si="17">IF(C25,-$P$9/C25,0)</f>
        <v>0</v>
      </c>
      <c r="D51" s="24">
        <f t="shared" si="17"/>
        <v>0</v>
      </c>
      <c r="E51" s="24">
        <f t="shared" si="17"/>
        <v>0</v>
      </c>
      <c r="F51" s="24">
        <f t="shared" si="17"/>
        <v>0</v>
      </c>
      <c r="G51" s="24">
        <f t="shared" si="17"/>
        <v>0</v>
      </c>
      <c r="H51" s="24">
        <f t="shared" si="17"/>
        <v>0</v>
      </c>
      <c r="I51" s="24">
        <f t="shared" si="17"/>
        <v>0</v>
      </c>
      <c r="J51" s="24">
        <f t="shared" si="17"/>
        <v>0</v>
      </c>
      <c r="K51" s="24">
        <f t="shared" si="17"/>
        <v>0</v>
      </c>
      <c r="L51" s="24">
        <f t="shared" si="17"/>
        <v>0</v>
      </c>
      <c r="M51" s="24">
        <f t="shared" si="17"/>
        <v>0</v>
      </c>
      <c r="N51" s="24">
        <f t="shared" si="17"/>
        <v>0</v>
      </c>
      <c r="O51" s="24">
        <f t="shared" si="17"/>
        <v>0</v>
      </c>
      <c r="P51" s="24">
        <f t="shared" si="17"/>
        <v>0</v>
      </c>
      <c r="Q51" s="24">
        <f t="shared" si="17"/>
        <v>-1107.6880943461724</v>
      </c>
      <c r="R51" s="24">
        <f t="shared" si="17"/>
        <v>-1107.6880943461724</v>
      </c>
      <c r="S51" s="24">
        <f t="shared" si="17"/>
        <v>-1107.6880943461724</v>
      </c>
      <c r="T51" s="24">
        <f t="shared" si="17"/>
        <v>-1107.6880943461724</v>
      </c>
      <c r="U51" s="24">
        <f t="shared" si="17"/>
        <v>-1107.6880943461724</v>
      </c>
      <c r="V51" s="24">
        <f t="shared" si="17"/>
        <v>-1107.6880943461724</v>
      </c>
      <c r="W51" s="24">
        <f t="shared" si="17"/>
        <v>-1107.6880943461724</v>
      </c>
      <c r="X51" s="24">
        <f t="shared" si="17"/>
        <v>-1107.6880943461724</v>
      </c>
      <c r="Y51" s="24">
        <f t="shared" si="17"/>
        <v>-1107.6880943461724</v>
      </c>
      <c r="Z51" s="24">
        <f t="shared" si="17"/>
        <v>-1107.6880943461724</v>
      </c>
      <c r="AA51" s="24">
        <f t="shared" si="17"/>
        <v>-1107.6880943461724</v>
      </c>
      <c r="AB51" s="24">
        <f t="shared" si="17"/>
        <v>-1107.6880943461724</v>
      </c>
    </row>
    <row r="52" spans="1:28" x14ac:dyDescent="0.25">
      <c r="A52" s="21" t="s">
        <v>204</v>
      </c>
      <c r="B52" s="21">
        <v>14</v>
      </c>
      <c r="C52" s="24">
        <f t="shared" ref="C52:AB52" si="18">IF(C26,-$Q$9/C26,0)</f>
        <v>0</v>
      </c>
      <c r="D52" s="24">
        <f t="shared" si="18"/>
        <v>0</v>
      </c>
      <c r="E52" s="24">
        <f t="shared" si="18"/>
        <v>0</v>
      </c>
      <c r="F52" s="24">
        <f t="shared" si="18"/>
        <v>0</v>
      </c>
      <c r="G52" s="24">
        <f t="shared" si="18"/>
        <v>0</v>
      </c>
      <c r="H52" s="24">
        <f t="shared" si="18"/>
        <v>0</v>
      </c>
      <c r="I52" s="24">
        <f t="shared" si="18"/>
        <v>0</v>
      </c>
      <c r="J52" s="24">
        <f t="shared" si="18"/>
        <v>0</v>
      </c>
      <c r="K52" s="24">
        <f t="shared" si="18"/>
        <v>0</v>
      </c>
      <c r="L52" s="24">
        <f t="shared" si="18"/>
        <v>0</v>
      </c>
      <c r="M52" s="24">
        <f t="shared" si="18"/>
        <v>0</v>
      </c>
      <c r="N52" s="24">
        <f t="shared" si="18"/>
        <v>0</v>
      </c>
      <c r="O52" s="24">
        <f t="shared" si="18"/>
        <v>0</v>
      </c>
      <c r="P52" s="24">
        <f t="shared" si="18"/>
        <v>0</v>
      </c>
      <c r="Q52" s="24">
        <f t="shared" si="18"/>
        <v>0</v>
      </c>
      <c r="R52" s="24">
        <f t="shared" si="18"/>
        <v>-1160.0515315334503</v>
      </c>
      <c r="S52" s="24">
        <f t="shared" si="18"/>
        <v>-1160.0515315334503</v>
      </c>
      <c r="T52" s="24">
        <f t="shared" si="18"/>
        <v>-1160.0515315334503</v>
      </c>
      <c r="U52" s="24">
        <f t="shared" si="18"/>
        <v>-1160.0515315334503</v>
      </c>
      <c r="V52" s="24">
        <f t="shared" si="18"/>
        <v>-1160.0515315334503</v>
      </c>
      <c r="W52" s="24">
        <f t="shared" si="18"/>
        <v>-1160.0515315334503</v>
      </c>
      <c r="X52" s="24">
        <f t="shared" si="18"/>
        <v>-1160.0515315334503</v>
      </c>
      <c r="Y52" s="24">
        <f t="shared" si="18"/>
        <v>-1160.0515315334503</v>
      </c>
      <c r="Z52" s="24">
        <f t="shared" si="18"/>
        <v>-1160.0515315334503</v>
      </c>
      <c r="AA52" s="24">
        <f t="shared" si="18"/>
        <v>-1160.0515315334503</v>
      </c>
      <c r="AB52" s="24">
        <f t="shared" si="18"/>
        <v>-1160.0515315334503</v>
      </c>
    </row>
    <row r="53" spans="1:28" x14ac:dyDescent="0.25">
      <c r="A53" s="21" t="s">
        <v>205</v>
      </c>
      <c r="B53" s="21">
        <v>15</v>
      </c>
      <c r="C53" s="24">
        <f t="shared" ref="C53:AB53" si="19">IF(C27,-$R$9/C27,0)</f>
        <v>0</v>
      </c>
      <c r="D53" s="24">
        <f t="shared" si="19"/>
        <v>0</v>
      </c>
      <c r="E53" s="24">
        <f t="shared" si="19"/>
        <v>0</v>
      </c>
      <c r="F53" s="24">
        <f t="shared" si="19"/>
        <v>0</v>
      </c>
      <c r="G53" s="24">
        <f t="shared" si="19"/>
        <v>0</v>
      </c>
      <c r="H53" s="24">
        <f t="shared" si="19"/>
        <v>0</v>
      </c>
      <c r="I53" s="24">
        <f t="shared" si="19"/>
        <v>0</v>
      </c>
      <c r="J53" s="24">
        <f t="shared" si="19"/>
        <v>0</v>
      </c>
      <c r="K53" s="24">
        <f t="shared" si="19"/>
        <v>0</v>
      </c>
      <c r="L53" s="24">
        <f t="shared" si="19"/>
        <v>0</v>
      </c>
      <c r="M53" s="24">
        <f t="shared" si="19"/>
        <v>0</v>
      </c>
      <c r="N53" s="24">
        <f t="shared" si="19"/>
        <v>0</v>
      </c>
      <c r="O53" s="24">
        <f t="shared" si="19"/>
        <v>0</v>
      </c>
      <c r="P53" s="24">
        <f t="shared" si="19"/>
        <v>0</v>
      </c>
      <c r="Q53" s="24">
        <f t="shared" si="19"/>
        <v>0</v>
      </c>
      <c r="R53" s="24">
        <f t="shared" si="19"/>
        <v>0</v>
      </c>
      <c r="S53" s="24">
        <f t="shared" si="19"/>
        <v>-1225.0144172993103</v>
      </c>
      <c r="T53" s="24">
        <f t="shared" si="19"/>
        <v>-1225.0144172993103</v>
      </c>
      <c r="U53" s="24">
        <f t="shared" si="19"/>
        <v>-1225.0144172993103</v>
      </c>
      <c r="V53" s="24">
        <f t="shared" si="19"/>
        <v>-1225.0144172993103</v>
      </c>
      <c r="W53" s="24">
        <f t="shared" si="19"/>
        <v>-1225.0144172993103</v>
      </c>
      <c r="X53" s="24">
        <f t="shared" si="19"/>
        <v>-1225.0144172993103</v>
      </c>
      <c r="Y53" s="24">
        <f t="shared" si="19"/>
        <v>-1225.0144172993103</v>
      </c>
      <c r="Z53" s="24">
        <f t="shared" si="19"/>
        <v>-1225.0144172993103</v>
      </c>
      <c r="AA53" s="24">
        <f t="shared" si="19"/>
        <v>-1225.0144172993103</v>
      </c>
      <c r="AB53" s="24">
        <f t="shared" si="19"/>
        <v>-1225.0144172993103</v>
      </c>
    </row>
    <row r="54" spans="1:28" x14ac:dyDescent="0.25">
      <c r="A54" s="21" t="s">
        <v>206</v>
      </c>
      <c r="B54" s="21">
        <v>16</v>
      </c>
      <c r="C54" s="24">
        <f t="shared" ref="C54:AB54" si="20">IF(C28,-$S$9/C28,0)</f>
        <v>0</v>
      </c>
      <c r="D54" s="24">
        <f t="shared" si="20"/>
        <v>0</v>
      </c>
      <c r="E54" s="24">
        <f t="shared" si="20"/>
        <v>0</v>
      </c>
      <c r="F54" s="24">
        <f t="shared" si="20"/>
        <v>0</v>
      </c>
      <c r="G54" s="24">
        <f t="shared" si="20"/>
        <v>0</v>
      </c>
      <c r="H54" s="24">
        <f t="shared" si="20"/>
        <v>0</v>
      </c>
      <c r="I54" s="24">
        <f t="shared" si="20"/>
        <v>0</v>
      </c>
      <c r="J54" s="24">
        <f t="shared" si="20"/>
        <v>0</v>
      </c>
      <c r="K54" s="24">
        <f t="shared" si="20"/>
        <v>0</v>
      </c>
      <c r="L54" s="24">
        <f t="shared" si="20"/>
        <v>0</v>
      </c>
      <c r="M54" s="24">
        <f t="shared" si="20"/>
        <v>0</v>
      </c>
      <c r="N54" s="24">
        <f t="shared" si="20"/>
        <v>0</v>
      </c>
      <c r="O54" s="24">
        <f t="shared" si="20"/>
        <v>0</v>
      </c>
      <c r="P54" s="24">
        <f t="shared" si="20"/>
        <v>0</v>
      </c>
      <c r="Q54" s="24">
        <f t="shared" si="20"/>
        <v>0</v>
      </c>
      <c r="R54" s="24">
        <f t="shared" si="20"/>
        <v>0</v>
      </c>
      <c r="S54" s="24">
        <f t="shared" si="20"/>
        <v>0</v>
      </c>
      <c r="T54" s="24">
        <f t="shared" si="20"/>
        <v>-1306.68204511927</v>
      </c>
      <c r="U54" s="24">
        <f t="shared" si="20"/>
        <v>-1306.68204511927</v>
      </c>
      <c r="V54" s="24">
        <f t="shared" si="20"/>
        <v>-1306.68204511927</v>
      </c>
      <c r="W54" s="24">
        <f t="shared" si="20"/>
        <v>-1306.68204511927</v>
      </c>
      <c r="X54" s="24">
        <f t="shared" si="20"/>
        <v>-1306.68204511927</v>
      </c>
      <c r="Y54" s="24">
        <f t="shared" si="20"/>
        <v>-1306.68204511927</v>
      </c>
      <c r="Z54" s="24">
        <f t="shared" si="20"/>
        <v>-1306.68204511927</v>
      </c>
      <c r="AA54" s="24">
        <f t="shared" si="20"/>
        <v>-1306.68204511927</v>
      </c>
      <c r="AB54" s="24">
        <f t="shared" si="20"/>
        <v>-1306.68204511927</v>
      </c>
    </row>
    <row r="55" spans="1:28" x14ac:dyDescent="0.25">
      <c r="A55" s="21" t="s">
        <v>207</v>
      </c>
      <c r="B55" s="21">
        <v>17</v>
      </c>
      <c r="C55" s="24">
        <f t="shared" ref="C55:AB55" si="21">IF(C29,-$T$9/C29,0)</f>
        <v>0</v>
      </c>
      <c r="D55" s="24">
        <f t="shared" si="21"/>
        <v>0</v>
      </c>
      <c r="E55" s="24">
        <f t="shared" si="21"/>
        <v>0</v>
      </c>
      <c r="F55" s="24">
        <f t="shared" si="21"/>
        <v>0</v>
      </c>
      <c r="G55" s="24">
        <f t="shared" si="21"/>
        <v>0</v>
      </c>
      <c r="H55" s="24">
        <f t="shared" si="21"/>
        <v>0</v>
      </c>
      <c r="I55" s="24">
        <f t="shared" si="21"/>
        <v>0</v>
      </c>
      <c r="J55" s="24">
        <f t="shared" si="21"/>
        <v>0</v>
      </c>
      <c r="K55" s="24">
        <f t="shared" si="21"/>
        <v>0</v>
      </c>
      <c r="L55" s="24">
        <f t="shared" si="21"/>
        <v>0</v>
      </c>
      <c r="M55" s="24">
        <f t="shared" si="21"/>
        <v>0</v>
      </c>
      <c r="N55" s="24">
        <f t="shared" si="21"/>
        <v>0</v>
      </c>
      <c r="O55" s="24">
        <f t="shared" si="21"/>
        <v>0</v>
      </c>
      <c r="P55" s="24">
        <f t="shared" si="21"/>
        <v>0</v>
      </c>
      <c r="Q55" s="24">
        <f t="shared" si="21"/>
        <v>0</v>
      </c>
      <c r="R55" s="24">
        <f t="shared" si="21"/>
        <v>0</v>
      </c>
      <c r="S55" s="24">
        <f t="shared" si="21"/>
        <v>0</v>
      </c>
      <c r="T55" s="24">
        <f t="shared" si="21"/>
        <v>0</v>
      </c>
      <c r="U55" s="24">
        <f t="shared" si="21"/>
        <v>-1411.2166087288142</v>
      </c>
      <c r="V55" s="24">
        <f t="shared" si="21"/>
        <v>-1411.2166087288142</v>
      </c>
      <c r="W55" s="24">
        <f t="shared" si="21"/>
        <v>-1411.2166087288142</v>
      </c>
      <c r="X55" s="24">
        <f t="shared" si="21"/>
        <v>-1411.2166087288142</v>
      </c>
      <c r="Y55" s="24">
        <f t="shared" si="21"/>
        <v>-1411.2166087288142</v>
      </c>
      <c r="Z55" s="24">
        <f t="shared" si="21"/>
        <v>-1411.2166087288142</v>
      </c>
      <c r="AA55" s="24">
        <f t="shared" si="21"/>
        <v>-1411.2166087288142</v>
      </c>
      <c r="AB55" s="24">
        <f t="shared" si="21"/>
        <v>-1411.2166087288142</v>
      </c>
    </row>
    <row r="56" spans="1:28" x14ac:dyDescent="0.25">
      <c r="A56" s="21" t="s">
        <v>208</v>
      </c>
      <c r="B56" s="21">
        <v>18</v>
      </c>
      <c r="C56" s="24">
        <f t="shared" ref="C56:AB56" si="22">IF(C30,-$U$9/C30,0)</f>
        <v>0</v>
      </c>
      <c r="D56" s="24">
        <f t="shared" si="22"/>
        <v>0</v>
      </c>
      <c r="E56" s="24">
        <f t="shared" si="22"/>
        <v>0</v>
      </c>
      <c r="F56" s="24">
        <f t="shared" si="22"/>
        <v>0</v>
      </c>
      <c r="G56" s="24">
        <f t="shared" si="22"/>
        <v>0</v>
      </c>
      <c r="H56" s="24">
        <f t="shared" si="22"/>
        <v>0</v>
      </c>
      <c r="I56" s="24">
        <f t="shared" si="22"/>
        <v>0</v>
      </c>
      <c r="J56" s="24">
        <f t="shared" si="22"/>
        <v>0</v>
      </c>
      <c r="K56" s="24">
        <f t="shared" si="22"/>
        <v>0</v>
      </c>
      <c r="L56" s="24">
        <f t="shared" si="22"/>
        <v>0</v>
      </c>
      <c r="M56" s="24">
        <f t="shared" si="22"/>
        <v>0</v>
      </c>
      <c r="N56" s="24">
        <f t="shared" si="22"/>
        <v>0</v>
      </c>
      <c r="O56" s="24">
        <f t="shared" si="22"/>
        <v>0</v>
      </c>
      <c r="P56" s="24">
        <f t="shared" si="22"/>
        <v>0</v>
      </c>
      <c r="Q56" s="24">
        <f t="shared" si="22"/>
        <v>0</v>
      </c>
      <c r="R56" s="24">
        <f t="shared" si="22"/>
        <v>0</v>
      </c>
      <c r="S56" s="24">
        <f t="shared" si="22"/>
        <v>0</v>
      </c>
      <c r="T56" s="24">
        <f t="shared" si="22"/>
        <v>0</v>
      </c>
      <c r="U56" s="24">
        <f t="shared" si="22"/>
        <v>0</v>
      </c>
      <c r="V56" s="24">
        <f t="shared" si="22"/>
        <v>-1548.3062221481905</v>
      </c>
      <c r="W56" s="24">
        <f t="shared" si="22"/>
        <v>-1548.3062221481905</v>
      </c>
      <c r="X56" s="24">
        <f t="shared" si="22"/>
        <v>-1548.3062221481905</v>
      </c>
      <c r="Y56" s="24">
        <f t="shared" si="22"/>
        <v>-1548.3062221481905</v>
      </c>
      <c r="Z56" s="24">
        <f t="shared" si="22"/>
        <v>-1548.3062221481905</v>
      </c>
      <c r="AA56" s="24">
        <f t="shared" si="22"/>
        <v>-1548.3062221481905</v>
      </c>
      <c r="AB56" s="24">
        <f t="shared" si="22"/>
        <v>-1548.3062221481905</v>
      </c>
    </row>
    <row r="57" spans="1:28" x14ac:dyDescent="0.25">
      <c r="A57" s="21" t="s">
        <v>209</v>
      </c>
      <c r="B57" s="21">
        <v>19</v>
      </c>
      <c r="C57" s="24">
        <f t="shared" ref="C57:AB57" si="23">IF(C31,-$V$9/C31,0)</f>
        <v>0</v>
      </c>
      <c r="D57" s="24">
        <f t="shared" si="23"/>
        <v>0</v>
      </c>
      <c r="E57" s="24">
        <f t="shared" si="23"/>
        <v>0</v>
      </c>
      <c r="F57" s="24">
        <f t="shared" si="23"/>
        <v>0</v>
      </c>
      <c r="G57" s="24">
        <f t="shared" si="23"/>
        <v>0</v>
      </c>
      <c r="H57" s="24">
        <f t="shared" si="23"/>
        <v>0</v>
      </c>
      <c r="I57" s="24">
        <f t="shared" si="23"/>
        <v>0</v>
      </c>
      <c r="J57" s="24">
        <f t="shared" si="23"/>
        <v>0</v>
      </c>
      <c r="K57" s="24">
        <f t="shared" si="23"/>
        <v>0</v>
      </c>
      <c r="L57" s="24">
        <f t="shared" si="23"/>
        <v>0</v>
      </c>
      <c r="M57" s="24">
        <f t="shared" si="23"/>
        <v>0</v>
      </c>
      <c r="N57" s="24">
        <f t="shared" si="23"/>
        <v>0</v>
      </c>
      <c r="O57" s="24">
        <f t="shared" si="23"/>
        <v>0</v>
      </c>
      <c r="P57" s="24">
        <f t="shared" si="23"/>
        <v>0</v>
      </c>
      <c r="Q57" s="24">
        <f t="shared" si="23"/>
        <v>0</v>
      </c>
      <c r="R57" s="24">
        <f t="shared" si="23"/>
        <v>0</v>
      </c>
      <c r="S57" s="24">
        <f t="shared" si="23"/>
        <v>0</v>
      </c>
      <c r="T57" s="24">
        <f t="shared" si="23"/>
        <v>0</v>
      </c>
      <c r="U57" s="24">
        <f t="shared" si="23"/>
        <v>0</v>
      </c>
      <c r="V57" s="24">
        <f t="shared" si="23"/>
        <v>0</v>
      </c>
      <c r="W57" s="24">
        <f t="shared" si="23"/>
        <v>-1734.1029688059941</v>
      </c>
      <c r="X57" s="24">
        <f t="shared" si="23"/>
        <v>-1734.1029688059941</v>
      </c>
      <c r="Y57" s="24">
        <f t="shared" si="23"/>
        <v>-1734.1029688059941</v>
      </c>
      <c r="Z57" s="24">
        <f t="shared" si="23"/>
        <v>-1734.1029688059941</v>
      </c>
      <c r="AA57" s="24">
        <f t="shared" si="23"/>
        <v>-1734.1029688059941</v>
      </c>
      <c r="AB57" s="24">
        <f t="shared" si="23"/>
        <v>-1734.1029688059941</v>
      </c>
    </row>
    <row r="58" spans="1:28" x14ac:dyDescent="0.25">
      <c r="A58" s="21" t="s">
        <v>210</v>
      </c>
      <c r="B58" s="21">
        <v>20</v>
      </c>
      <c r="C58" s="24">
        <f t="shared" ref="C58:AB58" si="24">IF(C32,-$W$9/C32,0)</f>
        <v>0</v>
      </c>
      <c r="D58" s="24">
        <f t="shared" si="24"/>
        <v>0</v>
      </c>
      <c r="E58" s="24">
        <f t="shared" si="24"/>
        <v>0</v>
      </c>
      <c r="F58" s="24">
        <f t="shared" si="24"/>
        <v>0</v>
      </c>
      <c r="G58" s="24">
        <f t="shared" si="24"/>
        <v>0</v>
      </c>
      <c r="H58" s="24">
        <f t="shared" si="24"/>
        <v>0</v>
      </c>
      <c r="I58" s="24">
        <f t="shared" si="24"/>
        <v>0</v>
      </c>
      <c r="J58" s="24">
        <f t="shared" si="24"/>
        <v>0</v>
      </c>
      <c r="K58" s="24">
        <f t="shared" si="24"/>
        <v>0</v>
      </c>
      <c r="L58" s="24">
        <f t="shared" si="24"/>
        <v>0</v>
      </c>
      <c r="M58" s="24">
        <f t="shared" si="24"/>
        <v>0</v>
      </c>
      <c r="N58" s="24">
        <f t="shared" si="24"/>
        <v>0</v>
      </c>
      <c r="O58" s="24">
        <f t="shared" si="24"/>
        <v>0</v>
      </c>
      <c r="P58" s="24">
        <f t="shared" si="24"/>
        <v>0</v>
      </c>
      <c r="Q58" s="24">
        <f t="shared" si="24"/>
        <v>0</v>
      </c>
      <c r="R58" s="24">
        <f t="shared" si="24"/>
        <v>0</v>
      </c>
      <c r="S58" s="24">
        <f t="shared" si="24"/>
        <v>0</v>
      </c>
      <c r="T58" s="24">
        <f t="shared" si="24"/>
        <v>0</v>
      </c>
      <c r="U58" s="24">
        <f t="shared" si="24"/>
        <v>0</v>
      </c>
      <c r="V58" s="24">
        <f t="shared" si="24"/>
        <v>0</v>
      </c>
      <c r="W58" s="24">
        <f t="shared" si="24"/>
        <v>0</v>
      </c>
      <c r="X58" s="24">
        <f t="shared" si="24"/>
        <v>-1997.6866200644497</v>
      </c>
      <c r="Y58" s="24">
        <f t="shared" si="24"/>
        <v>-1997.6866200644497</v>
      </c>
      <c r="Z58" s="24">
        <f t="shared" si="24"/>
        <v>-1997.6866200644497</v>
      </c>
      <c r="AA58" s="24">
        <f t="shared" si="24"/>
        <v>-1997.6866200644497</v>
      </c>
      <c r="AB58" s="24">
        <f t="shared" si="24"/>
        <v>-1997.6866200644497</v>
      </c>
    </row>
    <row r="59" spans="1:28" x14ac:dyDescent="0.25">
      <c r="A59" s="21" t="s">
        <v>211</v>
      </c>
      <c r="B59" s="21">
        <v>21</v>
      </c>
      <c r="C59" s="24">
        <f t="shared" ref="C59:AB59" si="25">IF(C33,-$X$9/C33,0)</f>
        <v>0</v>
      </c>
      <c r="D59" s="24">
        <f t="shared" si="25"/>
        <v>0</v>
      </c>
      <c r="E59" s="24">
        <f t="shared" si="25"/>
        <v>0</v>
      </c>
      <c r="F59" s="24">
        <f t="shared" si="25"/>
        <v>0</v>
      </c>
      <c r="G59" s="24">
        <f t="shared" si="25"/>
        <v>0</v>
      </c>
      <c r="H59" s="24">
        <f t="shared" si="25"/>
        <v>0</v>
      </c>
      <c r="I59" s="24">
        <f t="shared" si="25"/>
        <v>0</v>
      </c>
      <c r="J59" s="24">
        <f t="shared" si="25"/>
        <v>0</v>
      </c>
      <c r="K59" s="24">
        <f t="shared" si="25"/>
        <v>0</v>
      </c>
      <c r="L59" s="24">
        <f t="shared" si="25"/>
        <v>0</v>
      </c>
      <c r="M59" s="24">
        <f t="shared" si="25"/>
        <v>0</v>
      </c>
      <c r="N59" s="24">
        <f t="shared" si="25"/>
        <v>0</v>
      </c>
      <c r="O59" s="24">
        <f t="shared" si="25"/>
        <v>0</v>
      </c>
      <c r="P59" s="24">
        <f t="shared" si="25"/>
        <v>0</v>
      </c>
      <c r="Q59" s="24">
        <f t="shared" si="25"/>
        <v>0</v>
      </c>
      <c r="R59" s="24">
        <f t="shared" si="25"/>
        <v>0</v>
      </c>
      <c r="S59" s="24">
        <f t="shared" si="25"/>
        <v>0</v>
      </c>
      <c r="T59" s="24">
        <f t="shared" si="25"/>
        <v>0</v>
      </c>
      <c r="U59" s="24">
        <f t="shared" si="25"/>
        <v>0</v>
      </c>
      <c r="V59" s="24">
        <f t="shared" si="25"/>
        <v>0</v>
      </c>
      <c r="W59" s="24">
        <f t="shared" si="25"/>
        <v>0</v>
      </c>
      <c r="X59" s="24">
        <f t="shared" si="25"/>
        <v>0</v>
      </c>
      <c r="Y59" s="24">
        <f t="shared" si="25"/>
        <v>-2397.2239440774006</v>
      </c>
      <c r="Z59" s="24">
        <f t="shared" si="25"/>
        <v>-2397.2239440774006</v>
      </c>
      <c r="AA59" s="24">
        <f t="shared" si="25"/>
        <v>-2397.2239440774006</v>
      </c>
      <c r="AB59" s="24">
        <f t="shared" si="25"/>
        <v>-2397.2239440774006</v>
      </c>
    </row>
    <row r="60" spans="1:28" x14ac:dyDescent="0.25">
      <c r="A60" s="21" t="s">
        <v>212</v>
      </c>
      <c r="B60" s="21">
        <v>22</v>
      </c>
      <c r="C60" s="24">
        <f t="shared" ref="C60:AB60" si="26">IF(C34,-$Y$9/C34,0)</f>
        <v>0</v>
      </c>
      <c r="D60" s="24">
        <f t="shared" si="26"/>
        <v>0</v>
      </c>
      <c r="E60" s="24">
        <f t="shared" si="26"/>
        <v>0</v>
      </c>
      <c r="F60" s="24">
        <f t="shared" si="26"/>
        <v>0</v>
      </c>
      <c r="G60" s="24">
        <f t="shared" si="26"/>
        <v>0</v>
      </c>
      <c r="H60" s="24">
        <f t="shared" si="26"/>
        <v>0</v>
      </c>
      <c r="I60" s="24">
        <f t="shared" si="26"/>
        <v>0</v>
      </c>
      <c r="J60" s="24">
        <f t="shared" si="26"/>
        <v>0</v>
      </c>
      <c r="K60" s="24">
        <f t="shared" si="26"/>
        <v>0</v>
      </c>
      <c r="L60" s="24">
        <f t="shared" si="26"/>
        <v>0</v>
      </c>
      <c r="M60" s="24">
        <f t="shared" si="26"/>
        <v>0</v>
      </c>
      <c r="N60" s="24">
        <f t="shared" si="26"/>
        <v>0</v>
      </c>
      <c r="O60" s="24">
        <f t="shared" si="26"/>
        <v>0</v>
      </c>
      <c r="P60" s="24">
        <f t="shared" si="26"/>
        <v>0</v>
      </c>
      <c r="Q60" s="24">
        <f t="shared" si="26"/>
        <v>0</v>
      </c>
      <c r="R60" s="24">
        <f t="shared" si="26"/>
        <v>0</v>
      </c>
      <c r="S60" s="24">
        <f t="shared" si="26"/>
        <v>0</v>
      </c>
      <c r="T60" s="24">
        <f t="shared" si="26"/>
        <v>0</v>
      </c>
      <c r="U60" s="24">
        <f t="shared" si="26"/>
        <v>0</v>
      </c>
      <c r="V60" s="24">
        <f t="shared" si="26"/>
        <v>0</v>
      </c>
      <c r="W60" s="24">
        <f t="shared" si="26"/>
        <v>0</v>
      </c>
      <c r="X60" s="24">
        <f t="shared" si="26"/>
        <v>0</v>
      </c>
      <c r="Y60" s="24">
        <f t="shared" si="26"/>
        <v>0</v>
      </c>
      <c r="Z60" s="24">
        <f t="shared" si="26"/>
        <v>-3068.4466484189852</v>
      </c>
      <c r="AA60" s="24">
        <f t="shared" si="26"/>
        <v>-3068.4466484189852</v>
      </c>
      <c r="AB60" s="24">
        <f t="shared" si="26"/>
        <v>-3068.4466484189852</v>
      </c>
    </row>
    <row r="61" spans="1:28" x14ac:dyDescent="0.25">
      <c r="A61" s="21" t="s">
        <v>213</v>
      </c>
      <c r="B61" s="21">
        <v>23</v>
      </c>
      <c r="C61" s="24">
        <f t="shared" ref="C61:AB61" si="27">IF(C35,-$Z$9/C35,0)</f>
        <v>0</v>
      </c>
      <c r="D61" s="24">
        <f t="shared" si="27"/>
        <v>0</v>
      </c>
      <c r="E61" s="24">
        <f t="shared" si="27"/>
        <v>0</v>
      </c>
      <c r="F61" s="24">
        <f t="shared" si="27"/>
        <v>0</v>
      </c>
      <c r="G61" s="24">
        <f t="shared" si="27"/>
        <v>0</v>
      </c>
      <c r="H61" s="24">
        <f t="shared" si="27"/>
        <v>0</v>
      </c>
      <c r="I61" s="24">
        <f t="shared" si="27"/>
        <v>0</v>
      </c>
      <c r="J61" s="24">
        <f t="shared" si="27"/>
        <v>0</v>
      </c>
      <c r="K61" s="24">
        <f t="shared" si="27"/>
        <v>0</v>
      </c>
      <c r="L61" s="24">
        <f t="shared" si="27"/>
        <v>0</v>
      </c>
      <c r="M61" s="24">
        <f t="shared" si="27"/>
        <v>0</v>
      </c>
      <c r="N61" s="24">
        <f t="shared" si="27"/>
        <v>0</v>
      </c>
      <c r="O61" s="24">
        <f t="shared" si="27"/>
        <v>0</v>
      </c>
      <c r="P61" s="24">
        <f t="shared" si="27"/>
        <v>0</v>
      </c>
      <c r="Q61" s="24">
        <f t="shared" si="27"/>
        <v>0</v>
      </c>
      <c r="R61" s="24">
        <f t="shared" si="27"/>
        <v>0</v>
      </c>
      <c r="S61" s="24">
        <f t="shared" si="27"/>
        <v>0</v>
      </c>
      <c r="T61" s="24">
        <f t="shared" si="27"/>
        <v>0</v>
      </c>
      <c r="U61" s="24">
        <f t="shared" si="27"/>
        <v>0</v>
      </c>
      <c r="V61" s="24">
        <f t="shared" si="27"/>
        <v>0</v>
      </c>
      <c r="W61" s="24">
        <f t="shared" si="27"/>
        <v>0</v>
      </c>
      <c r="X61" s="24">
        <f t="shared" si="27"/>
        <v>0</v>
      </c>
      <c r="Y61" s="24">
        <f t="shared" si="27"/>
        <v>0</v>
      </c>
      <c r="Z61" s="24">
        <f t="shared" si="27"/>
        <v>0</v>
      </c>
      <c r="AA61" s="24">
        <f t="shared" si="27"/>
        <v>-4418.5631737234735</v>
      </c>
      <c r="AB61" s="24">
        <f t="shared" si="27"/>
        <v>-4418.5631737234735</v>
      </c>
    </row>
    <row r="62" spans="1:28" x14ac:dyDescent="0.25">
      <c r="A62" s="21" t="s">
        <v>214</v>
      </c>
      <c r="B62" s="21">
        <v>24</v>
      </c>
      <c r="C62" s="24">
        <f t="shared" ref="C62:AA62" si="28">IF(C36,-$AA$9/C36,0)</f>
        <v>0</v>
      </c>
      <c r="D62" s="24">
        <f t="shared" si="28"/>
        <v>0</v>
      </c>
      <c r="E62" s="24">
        <f t="shared" si="28"/>
        <v>0</v>
      </c>
      <c r="F62" s="24">
        <f t="shared" si="28"/>
        <v>0</v>
      </c>
      <c r="G62" s="24">
        <f t="shared" si="28"/>
        <v>0</v>
      </c>
      <c r="H62" s="24">
        <f t="shared" si="28"/>
        <v>0</v>
      </c>
      <c r="I62" s="24">
        <f t="shared" si="28"/>
        <v>0</v>
      </c>
      <c r="J62" s="24">
        <f t="shared" si="28"/>
        <v>0</v>
      </c>
      <c r="K62" s="24">
        <f t="shared" si="28"/>
        <v>0</v>
      </c>
      <c r="L62" s="24">
        <f t="shared" si="28"/>
        <v>0</v>
      </c>
      <c r="M62" s="24">
        <f t="shared" si="28"/>
        <v>0</v>
      </c>
      <c r="N62" s="24">
        <f t="shared" si="28"/>
        <v>0</v>
      </c>
      <c r="O62" s="24">
        <f t="shared" si="28"/>
        <v>0</v>
      </c>
      <c r="P62" s="24">
        <f t="shared" si="28"/>
        <v>0</v>
      </c>
      <c r="Q62" s="24">
        <f t="shared" si="28"/>
        <v>0</v>
      </c>
      <c r="R62" s="24">
        <f t="shared" si="28"/>
        <v>0</v>
      </c>
      <c r="S62" s="24">
        <f t="shared" si="28"/>
        <v>0</v>
      </c>
      <c r="T62" s="24">
        <f t="shared" si="28"/>
        <v>0</v>
      </c>
      <c r="U62" s="24">
        <f t="shared" si="28"/>
        <v>0</v>
      </c>
      <c r="V62" s="24">
        <f t="shared" si="28"/>
        <v>0</v>
      </c>
      <c r="W62" s="24">
        <f t="shared" si="28"/>
        <v>0</v>
      </c>
      <c r="X62" s="24">
        <f t="shared" si="28"/>
        <v>0</v>
      </c>
      <c r="Y62" s="24">
        <f t="shared" si="28"/>
        <v>0</v>
      </c>
      <c r="Z62" s="24">
        <f t="shared" si="28"/>
        <v>0</v>
      </c>
      <c r="AA62" s="24">
        <f t="shared" si="28"/>
        <v>0</v>
      </c>
      <c r="AB62" s="24">
        <f>IF(AB36,-$AA$9/AB36,0)</f>
        <v>-8483.6412935488188</v>
      </c>
    </row>
    <row r="63" spans="1:28" x14ac:dyDescent="0.25">
      <c r="A63" s="41" t="s">
        <v>215</v>
      </c>
      <c r="B63" s="41">
        <v>25</v>
      </c>
      <c r="C63" s="42">
        <f t="shared" ref="C63:AB63" si="29">IF(C37,-$AB$9/C37,0)</f>
        <v>0</v>
      </c>
      <c r="D63" s="42">
        <f t="shared" si="29"/>
        <v>0</v>
      </c>
      <c r="E63" s="42">
        <f t="shared" si="29"/>
        <v>0</v>
      </c>
      <c r="F63" s="42">
        <f t="shared" si="29"/>
        <v>0</v>
      </c>
      <c r="G63" s="42">
        <f t="shared" si="29"/>
        <v>0</v>
      </c>
      <c r="H63" s="42">
        <f t="shared" si="29"/>
        <v>0</v>
      </c>
      <c r="I63" s="42">
        <f t="shared" si="29"/>
        <v>0</v>
      </c>
      <c r="J63" s="42">
        <f t="shared" si="29"/>
        <v>0</v>
      </c>
      <c r="K63" s="42">
        <f t="shared" si="29"/>
        <v>0</v>
      </c>
      <c r="L63" s="42">
        <f t="shared" si="29"/>
        <v>0</v>
      </c>
      <c r="M63" s="42">
        <f t="shared" si="29"/>
        <v>0</v>
      </c>
      <c r="N63" s="42">
        <f t="shared" si="29"/>
        <v>0</v>
      </c>
      <c r="O63" s="42">
        <f t="shared" si="29"/>
        <v>0</v>
      </c>
      <c r="P63" s="42">
        <f t="shared" si="29"/>
        <v>0</v>
      </c>
      <c r="Q63" s="42">
        <f t="shared" si="29"/>
        <v>0</v>
      </c>
      <c r="R63" s="42">
        <f t="shared" si="29"/>
        <v>0</v>
      </c>
      <c r="S63" s="42">
        <f t="shared" si="29"/>
        <v>0</v>
      </c>
      <c r="T63" s="42">
        <f t="shared" si="29"/>
        <v>0</v>
      </c>
      <c r="U63" s="42">
        <f t="shared" si="29"/>
        <v>0</v>
      </c>
      <c r="V63" s="42">
        <f t="shared" si="29"/>
        <v>0</v>
      </c>
      <c r="W63" s="42">
        <f t="shared" si="29"/>
        <v>0</v>
      </c>
      <c r="X63" s="42">
        <f t="shared" si="29"/>
        <v>0</v>
      </c>
      <c r="Y63" s="42">
        <f t="shared" si="29"/>
        <v>0</v>
      </c>
      <c r="Z63" s="42">
        <f t="shared" si="29"/>
        <v>0</v>
      </c>
      <c r="AA63" s="42">
        <f t="shared" si="29"/>
        <v>0</v>
      </c>
      <c r="AB63" s="42">
        <f t="shared" si="29"/>
        <v>0</v>
      </c>
    </row>
    <row r="64" spans="1:28" x14ac:dyDescent="0.25">
      <c r="A64" s="21" t="s">
        <v>242</v>
      </c>
      <c r="B64" s="21"/>
      <c r="C64" s="24">
        <f>SUM(C38:C63)</f>
        <v>0</v>
      </c>
      <c r="D64" s="24">
        <f t="shared" ref="D64:AB64" si="30">SUM(D38:D63)</f>
        <v>-54235.537190082643</v>
      </c>
      <c r="E64" s="24">
        <f t="shared" si="30"/>
        <v>-55320.247933884297</v>
      </c>
      <c r="F64" s="24">
        <f t="shared" si="30"/>
        <v>-56361.570247933887</v>
      </c>
      <c r="G64" s="24">
        <f t="shared" si="30"/>
        <v>-57361.239669421484</v>
      </c>
      <c r="H64" s="24">
        <f t="shared" si="30"/>
        <v>-58320.922314049581</v>
      </c>
      <c r="I64" s="24">
        <f t="shared" si="30"/>
        <v>-59242.217652892556</v>
      </c>
      <c r="J64" s="24">
        <f t="shared" si="30"/>
        <v>-60173.210837407569</v>
      </c>
      <c r="K64" s="24">
        <f t="shared" si="30"/>
        <v>-61116.617264382774</v>
      </c>
      <c r="L64" s="24">
        <f t="shared" si="30"/>
        <v>-62075.562150155209</v>
      </c>
      <c r="M64" s="24">
        <f t="shared" si="30"/>
        <v>-63053.685933643101</v>
      </c>
      <c r="N64" s="24">
        <f t="shared" si="30"/>
        <v>-64055.284687934713</v>
      </c>
      <c r="O64" s="24">
        <f t="shared" si="30"/>
        <v>-65085.500549491779</v>
      </c>
      <c r="P64" s="24">
        <f t="shared" si="30"/>
        <v>-66150.585255593862</v>
      </c>
      <c r="Q64" s="24">
        <f t="shared" si="30"/>
        <v>-67258.273349940035</v>
      </c>
      <c r="R64" s="24">
        <f t="shared" si="30"/>
        <v>-68418.324881473483</v>
      </c>
      <c r="S64" s="24">
        <f t="shared" si="30"/>
        <v>-69643.3392987728</v>
      </c>
      <c r="T64" s="24">
        <f t="shared" si="30"/>
        <v>-70950.021343892076</v>
      </c>
      <c r="U64" s="24">
        <f t="shared" si="30"/>
        <v>-72361.237952620897</v>
      </c>
      <c r="V64" s="24">
        <f t="shared" si="30"/>
        <v>-73909.544174769093</v>
      </c>
      <c r="W64" s="24">
        <f t="shared" si="30"/>
        <v>-75643.647143575086</v>
      </c>
      <c r="X64" s="24">
        <f t="shared" si="30"/>
        <v>-23405.79657355688</v>
      </c>
      <c r="Y64" s="24">
        <f t="shared" si="30"/>
        <v>-24718.309773832632</v>
      </c>
      <c r="Z64" s="24">
        <f t="shared" si="30"/>
        <v>-26745.434108202018</v>
      </c>
      <c r="AA64" s="24">
        <f t="shared" si="30"/>
        <v>-30164.327860437894</v>
      </c>
      <c r="AB64" s="24">
        <f t="shared" si="30"/>
        <v>-37688.286509358615</v>
      </c>
    </row>
  </sheetData>
  <sheetProtection algorithmName="SHA-512" hashValue="Yav5ohJ2SkaWj6ocki8wB8x9i2N+6OUWop2und0lp2GviOKVs2UDYUI0oj1yqfjpZt0DVUCJ3jyT28elWsAAhQ==" saltValue="e4ETZfAdyotlnhZ3AS4MZg=="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2:AB22"/>
  <sheetViews>
    <sheetView zoomScaleNormal="100" workbookViewId="0">
      <selection activeCell="L12" sqref="L12"/>
    </sheetView>
  </sheetViews>
  <sheetFormatPr defaultRowHeight="15" x14ac:dyDescent="0.25"/>
  <cols>
    <col min="1" max="1" width="27.5703125" bestFit="1" customWidth="1"/>
    <col min="2" max="2" width="27.5703125" hidden="1" customWidth="1"/>
    <col min="3" max="3" width="14.140625" bestFit="1" customWidth="1"/>
    <col min="4" max="22" width="15.140625" bestFit="1" customWidth="1"/>
    <col min="23" max="28" width="14.140625" bestFit="1" customWidth="1"/>
  </cols>
  <sheetData>
    <row r="2" spans="1:28" x14ac:dyDescent="0.25">
      <c r="A2" s="5" t="s">
        <v>28</v>
      </c>
      <c r="B2" s="5">
        <v>-1</v>
      </c>
      <c r="C2" s="6">
        <v>0</v>
      </c>
      <c r="D2" s="6">
        <v>1</v>
      </c>
      <c r="E2" s="6">
        <v>2</v>
      </c>
      <c r="F2" s="6">
        <v>3</v>
      </c>
      <c r="G2" s="6">
        <v>4</v>
      </c>
      <c r="H2" s="6">
        <v>5</v>
      </c>
      <c r="I2" s="6">
        <v>6</v>
      </c>
      <c r="J2" s="6">
        <v>7</v>
      </c>
      <c r="K2" s="6">
        <v>8</v>
      </c>
      <c r="L2" s="6">
        <v>9</v>
      </c>
      <c r="M2" s="6">
        <v>10</v>
      </c>
      <c r="N2" s="6">
        <v>11</v>
      </c>
      <c r="O2" s="6">
        <v>12</v>
      </c>
      <c r="P2" s="6">
        <v>13</v>
      </c>
      <c r="Q2" s="6">
        <v>14</v>
      </c>
      <c r="R2" s="6">
        <v>15</v>
      </c>
      <c r="S2" s="6">
        <v>16</v>
      </c>
      <c r="T2" s="6">
        <v>17</v>
      </c>
      <c r="U2" s="6">
        <v>18</v>
      </c>
      <c r="V2" s="6">
        <v>19</v>
      </c>
      <c r="W2" s="6">
        <v>20</v>
      </c>
      <c r="X2" s="6">
        <v>21</v>
      </c>
      <c r="Y2" s="6">
        <v>22</v>
      </c>
      <c r="Z2" s="6">
        <v>23</v>
      </c>
      <c r="AA2" s="6">
        <v>24</v>
      </c>
      <c r="AB2" s="6">
        <v>25</v>
      </c>
    </row>
    <row r="3" spans="1:28" x14ac:dyDescent="0.25">
      <c r="A3" s="4" t="s">
        <v>249</v>
      </c>
      <c r="B3" s="8">
        <v>0</v>
      </c>
      <c r="C3" s="8">
        <f>'Winst-en-verliesrekening'!B26</f>
        <v>-75000</v>
      </c>
      <c r="D3" s="8">
        <f>'Winst-en-verliesrekening'!C26</f>
        <v>28731.425619834743</v>
      </c>
      <c r="E3" s="8">
        <f>'Winst-en-verliesrekening'!D26</f>
        <v>38981.564338842989</v>
      </c>
      <c r="F3" s="8">
        <f>'Winst-en-verliesrekening'!E26</f>
        <v>48912.002338268561</v>
      </c>
      <c r="G3" s="8">
        <f>'Winst-en-verliesrekening'!F26</f>
        <v>62248.079140206741</v>
      </c>
      <c r="H3" s="8">
        <f>'Winst-en-verliesrekening'!G26</f>
        <v>75334.625037613616</v>
      </c>
      <c r="I3" s="8">
        <f>'Winst-en-verliesrekening'!H26</f>
        <v>88185.789243632578</v>
      </c>
      <c r="J3" s="8">
        <f>'Winst-en-verliesrekening'!I26</f>
        <v>100860.43083050195</v>
      </c>
      <c r="K3" s="8">
        <f>'Winst-en-verliesrekening'!J26</f>
        <v>113371.65379110503</v>
      </c>
      <c r="L3" s="8">
        <f>'Winst-en-verliesrekening'!K26</f>
        <v>125732.61052209587</v>
      </c>
      <c r="M3" s="8">
        <f>'Winst-en-verliesrekening'!L26</f>
        <v>137956.62184773176</v>
      </c>
      <c r="N3" s="8">
        <f>'Winst-en-verliesrekening'!M26</f>
        <v>150057.33145898086</v>
      </c>
      <c r="O3" s="8">
        <f>'Winst-en-verliesrekening'!N26</f>
        <v>162048.90979312832</v>
      </c>
      <c r="P3" s="8">
        <f>'Winst-en-verliesrekening'!O26</f>
        <v>173946.33045690105</v>
      </c>
      <c r="Q3" s="8">
        <f>'Winst-en-verliesrekening'!P26</f>
        <v>185765.75576016697</v>
      </c>
      <c r="R3" s="8">
        <f>'Winst-en-verliesrekening'!Q26</f>
        <v>197525.0911846066</v>
      </c>
      <c r="S3" s="8">
        <f>'Winst-en-verliesrekening'!R26</f>
        <v>209244.81047685898</v>
      </c>
      <c r="T3" s="8">
        <f>'Winst-en-verliesrekening'!S26</f>
        <v>220948.67744842381</v>
      </c>
      <c r="U3" s="8">
        <f>'Winst-en-verliesrekening'!T26</f>
        <v>232666.77418301802</v>
      </c>
      <c r="V3" s="8">
        <f>'Winst-en-verliesrekening'!U26</f>
        <v>244438.77594771702</v>
      </c>
      <c r="W3" s="8">
        <f>'Winst-en-verliesrekening'!V26</f>
        <v>256320.27425965259</v>
      </c>
      <c r="X3" s="8">
        <f>'Winst-en-verliesrekening'!W26</f>
        <v>58586.732023054559</v>
      </c>
      <c r="Y3" s="8">
        <f>'Winst-en-verliesrekening'!X26</f>
        <v>59885.06722994498</v>
      </c>
      <c r="Z3" s="8">
        <f>'Winst-en-verliesrekening'!Y26</f>
        <v>61774.981340409024</v>
      </c>
      <c r="AA3" s="8">
        <f>'Winst-en-verliesrekening'!Z26</f>
        <v>64936.874970478995</v>
      </c>
      <c r="AB3" s="8">
        <f>'Winst-en-verliesrekening'!AA26</f>
        <v>72086.983638246194</v>
      </c>
    </row>
    <row r="5" spans="1:28" x14ac:dyDescent="0.25">
      <c r="A5" s="4" t="s">
        <v>250</v>
      </c>
      <c r="B5" s="8">
        <v>0</v>
      </c>
      <c r="C5" s="8">
        <f t="shared" ref="C5:AB5" si="0">IF(ABS(C3)&gt;=gen_ven_bel_drempel,gen_ven_bel_drempel*gen_ven_bel_laag*(C3)/ABS(C3),C3*gen_ven_bel_laag)</f>
        <v>-14250</v>
      </c>
      <c r="D5" s="8">
        <f t="shared" si="0"/>
        <v>5458.9708677686012</v>
      </c>
      <c r="E5" s="8">
        <f t="shared" si="0"/>
        <v>7406.4972243801676</v>
      </c>
      <c r="F5" s="8">
        <f t="shared" si="0"/>
        <v>9293.2804442710276</v>
      </c>
      <c r="G5" s="8">
        <f t="shared" si="0"/>
        <v>11827.135036639282</v>
      </c>
      <c r="H5" s="8">
        <f t="shared" si="0"/>
        <v>14313.578757146588</v>
      </c>
      <c r="I5" s="8">
        <f t="shared" si="0"/>
        <v>16755.29995629019</v>
      </c>
      <c r="J5" s="8">
        <f>IF(ABS(J3)&gt;=gen_ven_bel_drempel,gen_ven_bel_drempel*gen_ven_bel_laag*(J3)/ABS(J3),J3*gen_ven_bel_laag)</f>
        <v>19163.48185779537</v>
      </c>
      <c r="K5" s="8">
        <f t="shared" si="0"/>
        <v>21540.614220309955</v>
      </c>
      <c r="L5" s="8">
        <f t="shared" si="0"/>
        <v>23889.195999198215</v>
      </c>
      <c r="M5" s="8">
        <f t="shared" si="0"/>
        <v>26211.758151069036</v>
      </c>
      <c r="N5" s="8">
        <f t="shared" si="0"/>
        <v>28510.892977206364</v>
      </c>
      <c r="O5" s="8">
        <f t="shared" si="0"/>
        <v>30789.292860694382</v>
      </c>
      <c r="P5" s="8">
        <f t="shared" si="0"/>
        <v>33049.802786811197</v>
      </c>
      <c r="Q5" s="8">
        <f t="shared" si="0"/>
        <v>35295.493594431726</v>
      </c>
      <c r="R5" s="8">
        <f t="shared" si="0"/>
        <v>37529.767325075256</v>
      </c>
      <c r="S5" s="8">
        <f t="shared" si="0"/>
        <v>38000</v>
      </c>
      <c r="T5" s="8">
        <f t="shared" si="0"/>
        <v>38000</v>
      </c>
      <c r="U5" s="8">
        <f t="shared" si="0"/>
        <v>38000</v>
      </c>
      <c r="V5" s="8">
        <f t="shared" si="0"/>
        <v>38000</v>
      </c>
      <c r="W5" s="8">
        <f t="shared" si="0"/>
        <v>38000</v>
      </c>
      <c r="X5" s="8">
        <f t="shared" si="0"/>
        <v>11131.479084380366</v>
      </c>
      <c r="Y5" s="8">
        <f t="shared" si="0"/>
        <v>11378.162773689546</v>
      </c>
      <c r="Z5" s="8">
        <f t="shared" si="0"/>
        <v>11737.246454677716</v>
      </c>
      <c r="AA5" s="8">
        <f t="shared" si="0"/>
        <v>12338.00624439101</v>
      </c>
      <c r="AB5" s="8">
        <f t="shared" si="0"/>
        <v>13696.526891266778</v>
      </c>
    </row>
    <row r="6" spans="1:28" x14ac:dyDescent="0.25">
      <c r="A6" s="48" t="s">
        <v>251</v>
      </c>
      <c r="B6" s="49">
        <v>0</v>
      </c>
      <c r="C6" s="49">
        <f>IF(ABS(C3)&gt;=gen_ven_bel_drempel,(ABS(C3)-gen_ven_bel_drempel)*gen_ven_bel_hoog*C3/ABS(C3),0)</f>
        <v>0</v>
      </c>
      <c r="D6" s="49">
        <f t="shared" ref="D6:AB6" si="1">IF(ABS(D3)&gt;=gen_ven_bel_drempel,(ABS(D3)-gen_ven_bel_drempel)*gen_ven_bel_hoog*D3/ABS(D3),0)</f>
        <v>0</v>
      </c>
      <c r="E6" s="49">
        <f t="shared" si="1"/>
        <v>0</v>
      </c>
      <c r="F6" s="49">
        <f t="shared" si="1"/>
        <v>0</v>
      </c>
      <c r="G6" s="49">
        <f t="shared" si="1"/>
        <v>0</v>
      </c>
      <c r="H6" s="49">
        <f t="shared" si="1"/>
        <v>0</v>
      </c>
      <c r="I6" s="49">
        <f t="shared" si="1"/>
        <v>0</v>
      </c>
      <c r="J6" s="49">
        <f t="shared" si="1"/>
        <v>0</v>
      </c>
      <c r="K6" s="49">
        <f t="shared" si="1"/>
        <v>0</v>
      </c>
      <c r="L6" s="49">
        <f t="shared" si="1"/>
        <v>0</v>
      </c>
      <c r="M6" s="49">
        <f t="shared" si="1"/>
        <v>0</v>
      </c>
      <c r="N6" s="49">
        <f t="shared" si="1"/>
        <v>0</v>
      </c>
      <c r="O6" s="49">
        <f t="shared" si="1"/>
        <v>0</v>
      </c>
      <c r="P6" s="49">
        <f t="shared" si="1"/>
        <v>0</v>
      </c>
      <c r="Q6" s="49">
        <f t="shared" si="1"/>
        <v>0</v>
      </c>
      <c r="R6" s="49">
        <f t="shared" si="1"/>
        <v>0</v>
      </c>
      <c r="S6" s="49">
        <f t="shared" si="1"/>
        <v>2311.2026192147459</v>
      </c>
      <c r="T6" s="49">
        <f t="shared" si="1"/>
        <v>5237.169362105953</v>
      </c>
      <c r="U6" s="49">
        <f t="shared" si="1"/>
        <v>8166.6935457545042</v>
      </c>
      <c r="V6" s="49">
        <f t="shared" si="1"/>
        <v>11109.693986929255</v>
      </c>
      <c r="W6" s="49">
        <f t="shared" si="1"/>
        <v>14080.068564913148</v>
      </c>
      <c r="X6" s="49">
        <f t="shared" si="1"/>
        <v>0</v>
      </c>
      <c r="Y6" s="49">
        <f t="shared" si="1"/>
        <v>0</v>
      </c>
      <c r="Z6" s="49">
        <f t="shared" si="1"/>
        <v>0</v>
      </c>
      <c r="AA6" s="49">
        <f t="shared" si="1"/>
        <v>0</v>
      </c>
      <c r="AB6" s="49">
        <f t="shared" si="1"/>
        <v>0</v>
      </c>
    </row>
    <row r="7" spans="1:28" x14ac:dyDescent="0.25">
      <c r="A7" s="4" t="s">
        <v>252</v>
      </c>
      <c r="B7" s="8">
        <f>SUM(B5:B6)</f>
        <v>0</v>
      </c>
      <c r="C7" s="8">
        <f>SUM(C5:C6)</f>
        <v>-14250</v>
      </c>
      <c r="D7" s="8">
        <f t="shared" ref="D7:AB7" si="2">SUM(D5:D6)</f>
        <v>5458.9708677686012</v>
      </c>
      <c r="E7" s="8">
        <f t="shared" si="2"/>
        <v>7406.4972243801676</v>
      </c>
      <c r="F7" s="8">
        <f t="shared" si="2"/>
        <v>9293.2804442710276</v>
      </c>
      <c r="G7" s="8">
        <f t="shared" si="2"/>
        <v>11827.135036639282</v>
      </c>
      <c r="H7" s="8">
        <f t="shared" si="2"/>
        <v>14313.578757146588</v>
      </c>
      <c r="I7" s="8">
        <f t="shared" si="2"/>
        <v>16755.29995629019</v>
      </c>
      <c r="J7" s="8">
        <f t="shared" si="2"/>
        <v>19163.48185779537</v>
      </c>
      <c r="K7" s="8">
        <f t="shared" si="2"/>
        <v>21540.614220309955</v>
      </c>
      <c r="L7" s="8">
        <f>SUM(L5:L6)</f>
        <v>23889.195999198215</v>
      </c>
      <c r="M7" s="8">
        <f t="shared" si="2"/>
        <v>26211.758151069036</v>
      </c>
      <c r="N7" s="8">
        <f t="shared" si="2"/>
        <v>28510.892977206364</v>
      </c>
      <c r="O7" s="8">
        <f t="shared" si="2"/>
        <v>30789.292860694382</v>
      </c>
      <c r="P7" s="8">
        <f t="shared" si="2"/>
        <v>33049.802786811197</v>
      </c>
      <c r="Q7" s="8">
        <f t="shared" si="2"/>
        <v>35295.493594431726</v>
      </c>
      <c r="R7" s="8">
        <f t="shared" si="2"/>
        <v>37529.767325075256</v>
      </c>
      <c r="S7" s="8">
        <f t="shared" si="2"/>
        <v>40311.202619214746</v>
      </c>
      <c r="T7" s="8">
        <f t="shared" si="2"/>
        <v>43237.169362105953</v>
      </c>
      <c r="U7" s="8">
        <f t="shared" si="2"/>
        <v>46166.693545754504</v>
      </c>
      <c r="V7" s="8">
        <f t="shared" si="2"/>
        <v>49109.693986929255</v>
      </c>
      <c r="W7" s="8">
        <f t="shared" si="2"/>
        <v>52080.068564913148</v>
      </c>
      <c r="X7" s="8">
        <f t="shared" si="2"/>
        <v>11131.479084380366</v>
      </c>
      <c r="Y7" s="8">
        <f t="shared" si="2"/>
        <v>11378.162773689546</v>
      </c>
      <c r="Z7" s="8">
        <f t="shared" si="2"/>
        <v>11737.246454677716</v>
      </c>
      <c r="AA7" s="8">
        <f t="shared" si="2"/>
        <v>12338.00624439101</v>
      </c>
      <c r="AB7" s="8">
        <f t="shared" si="2"/>
        <v>13696.526891266778</v>
      </c>
    </row>
    <row r="9" spans="1:28" x14ac:dyDescent="0.25">
      <c r="A9" s="4" t="s">
        <v>253</v>
      </c>
      <c r="B9" s="8"/>
      <c r="C9" s="8"/>
      <c r="D9" s="8">
        <f t="shared" ref="D9:AB9" si="3">IF(C12&lt;IF(D7&lt;0,SUMIFS($C$7:$AB$7,$C$2:$AB$2,"&lt;"&amp;D2,$C$7:$AB$7,"&gt;0",$C$2:$AB$2,"&gt;="&amp;D15),0),IF(ABS(D7)&lt;C12,ABS(D7),C12),IF(ABS(D7)&lt;IF(D7&lt;0,SUMIFS($C$7:$AB$7,$C$2:$AB$2,"&lt;"&amp;D2,$C$7:$AB$7,"&gt;0",$C$2:$AB$2,"&gt;="&amp;D15),0),ABS(D7),IF(D7&lt;0,SUMIFS($C$7:$AB$7,$C$2:$AB$2,"&lt;"&amp;D2,$C$7:$AB$7,"&gt;0",$C$2:$AB$2,"&gt;="&amp;D15),0)))</f>
        <v>0</v>
      </c>
      <c r="E9" s="8">
        <f t="shared" si="3"/>
        <v>0</v>
      </c>
      <c r="F9" s="8">
        <f t="shared" si="3"/>
        <v>0</v>
      </c>
      <c r="G9" s="8">
        <f t="shared" si="3"/>
        <v>0</v>
      </c>
      <c r="H9" s="8">
        <f t="shared" si="3"/>
        <v>0</v>
      </c>
      <c r="I9" s="8">
        <f t="shared" si="3"/>
        <v>0</v>
      </c>
      <c r="J9" s="8">
        <f t="shared" si="3"/>
        <v>0</v>
      </c>
      <c r="K9" s="8">
        <f t="shared" si="3"/>
        <v>0</v>
      </c>
      <c r="L9" s="8">
        <f t="shared" si="3"/>
        <v>0</v>
      </c>
      <c r="M9" s="8">
        <f t="shared" si="3"/>
        <v>0</v>
      </c>
      <c r="N9" s="8">
        <f t="shared" si="3"/>
        <v>0</v>
      </c>
      <c r="O9" s="8">
        <f t="shared" si="3"/>
        <v>0</v>
      </c>
      <c r="P9" s="8">
        <f t="shared" si="3"/>
        <v>0</v>
      </c>
      <c r="Q9" s="8">
        <f>IF(P12&lt;IF(Q7&lt;0,SUMIFS($C$7:$AB$7,$C$2:$AB$2,"&lt;"&amp;Q2,$C$7:$AB$7,"&gt;0",$C$2:$AB$2,"&gt;="&amp;Q15),0),IF(ABS(Q7)&lt;P12,ABS(Q7),P12),IF(ABS(Q7)&lt;IF(Q7&lt;0,SUMIFS($C$7:$AB$7,$C$2:$AB$2,"&lt;"&amp;Q2,$C$7:$AB$7,"&gt;0",$C$2:$AB$2,"&gt;="&amp;Q15),0),ABS(Q7),IF(Q7&lt;0,SUMIFS($C$7:$AB$7,$C$2:$AB$2,"&lt;"&amp;Q2,$C$7:$AB$7,"&gt;0",$C$2:$AB$2,"&gt;="&amp;Q15),0)))</f>
        <v>0</v>
      </c>
      <c r="R9" s="8">
        <f t="shared" si="3"/>
        <v>0</v>
      </c>
      <c r="S9" s="8">
        <f t="shared" si="3"/>
        <v>0</v>
      </c>
      <c r="T9" s="8">
        <f t="shared" si="3"/>
        <v>0</v>
      </c>
      <c r="U9" s="8">
        <f>IF(T12&lt;IF(U7&lt;0,SUMIFS($C$7:$AB$7,$C$2:$AB$2,"&lt;"&amp;U2,$C$7:$AB$7,"&gt;0",$C$2:$AB$2,"&gt;="&amp;U15),0),IF(ABS(U7)&lt;T12,ABS(U7),T12),IF(ABS(U7)&lt;IF(U7&lt;0,SUMIFS($C$7:$AB$7,$C$2:$AB$2,"&lt;"&amp;U2,$C$7:$AB$7,"&gt;0",$C$2:$AB$2,"&gt;="&amp;U15),0),ABS(U7),IF(U7&lt;0,SUMIFS($C$7:$AB$7,$C$2:$AB$2,"&lt;"&amp;U2,$C$7:$AB$7,"&gt;0",$C$2:$AB$2,"&gt;="&amp;U15),0)))</f>
        <v>0</v>
      </c>
      <c r="V9" s="8">
        <f t="shared" si="3"/>
        <v>0</v>
      </c>
      <c r="W9" s="8">
        <f t="shared" si="3"/>
        <v>0</v>
      </c>
      <c r="X9" s="8">
        <f t="shared" si="3"/>
        <v>0</v>
      </c>
      <c r="Y9" s="8">
        <f t="shared" si="3"/>
        <v>0</v>
      </c>
      <c r="Z9" s="8">
        <f t="shared" si="3"/>
        <v>0</v>
      </c>
      <c r="AA9" s="8">
        <f t="shared" si="3"/>
        <v>0</v>
      </c>
      <c r="AB9" s="8">
        <f t="shared" si="3"/>
        <v>0</v>
      </c>
    </row>
    <row r="10" spans="1:28" x14ac:dyDescent="0.25">
      <c r="A10" s="4" t="s">
        <v>270</v>
      </c>
      <c r="B10" s="8">
        <v>0</v>
      </c>
      <c r="C10" s="8">
        <f t="shared" ref="C10:AB10" si="4">SUMIFS($C$7:$AB$7,$C$2:$AB$2,"&lt;="&amp;C2,$C$2:$AB$2,"&gt;="&amp;IF(B11=(0),C2,IF(IF(C2&gt;=gen_car_for,C2-gen_car_for,0)&lt;B14,IF(ISNUMBER(B14),B14,0),IF(C2&gt;=gen_car_for,C2-gen_car_for,0))))+SUMIFS($C$9:$AB$9,$C$2:$AB$2,"&lt;="&amp;C2,$C$2:$AB$2,"&gt;="&amp;IF(B11=(0),C2,IF(IF(C2&gt;=gen_car_for,C2-gen_car_for,0)&lt;B14,IF(ISNUMBER(B14),B14,0),IF(C2&gt;=gen_car_for,C2-gen_car_for,0))))</f>
        <v>-14250</v>
      </c>
      <c r="D10" s="8">
        <f t="shared" si="4"/>
        <v>-8791.0291322313988</v>
      </c>
      <c r="E10" s="8">
        <f t="shared" si="4"/>
        <v>-1384.5319078512312</v>
      </c>
      <c r="F10" s="8">
        <f t="shared" si="4"/>
        <v>7908.7485364197964</v>
      </c>
      <c r="G10" s="8">
        <f t="shared" si="4"/>
        <v>11827.135036639282</v>
      </c>
      <c r="H10" s="8">
        <f t="shared" si="4"/>
        <v>14313.578757146588</v>
      </c>
      <c r="I10" s="8">
        <f t="shared" si="4"/>
        <v>16755.29995629019</v>
      </c>
      <c r="J10" s="8">
        <f t="shared" si="4"/>
        <v>19163.48185779537</v>
      </c>
      <c r="K10" s="8">
        <f t="shared" si="4"/>
        <v>21540.614220309955</v>
      </c>
      <c r="L10" s="8">
        <f>SUMIFS($C$7:$AB$7,$C$2:$AB$2,"&lt;="&amp;L2,$C$2:$AB$2,"&gt;="&amp;IF(K11=(0),L2,IF(IF(L2&gt;=gen_car_for,L2-gen_car_for,0)&lt;K14,IF(ISNUMBER(K14),K14,0),IF(L2&gt;=gen_car_for,L2-gen_car_for,0))))+SUMIFS($C$9:$AB$9,$C$2:$AB$2,"&lt;="&amp;L2,$C$2:$AB$2,"&gt;="&amp;IF(K11=(0),L2,IF(IF(L2&gt;=gen_car_for,L2-gen_car_for,0)&lt;K14,IF(ISNUMBER(K14),K14,0),IF(L2&gt;=gen_car_for,L2-gen_car_for,0))))</f>
        <v>23889.195999198215</v>
      </c>
      <c r="M10" s="8">
        <f t="shared" si="4"/>
        <v>26211.758151069036</v>
      </c>
      <c r="N10" s="8">
        <f t="shared" si="4"/>
        <v>28510.892977206364</v>
      </c>
      <c r="O10" s="8">
        <f>SUMIFS($C$7:$AB$7,$C$2:$AB$2,"&lt;="&amp;O2,$C$2:$AB$2,"&gt;="&amp;IF(N11=(0),O2,IF(IF(O2&gt;=gen_car_for,O2-gen_car_for,0)&lt;N14,IF(ISNUMBER(N14),N14,0),IF(O2&gt;=gen_car_for,O2-gen_car_for,0))))+SUMIFS($C$9:$AB$9,$C$2:$AB$2,"&lt;="&amp;O2,$C$2:$AB$2,"&gt;="&amp;IF(N11=(0),O2,IF(IF(O2&gt;=gen_car_for,O2-gen_car_for,0)&lt;N14,IF(ISNUMBER(N14),N14,0),IF(O2&gt;=gen_car_for,O2-gen_car_for,0))))</f>
        <v>30789.292860694382</v>
      </c>
      <c r="P10" s="8">
        <f t="shared" si="4"/>
        <v>33049.802786811197</v>
      </c>
      <c r="Q10" s="8">
        <f>SUMIFS($C$7:$AB$7,$C$2:$AB$2,"&lt;="&amp;Q2,$C$2:$AB$2,"&gt;="&amp;IF(P11=(0),Q2,IF(IF(Q2&gt;=gen_car_for,Q2-gen_car_for,0)&lt;P14,IF(ISNUMBER(P14),P14,0),IF(Q2&gt;=gen_car_for,Q2-gen_car_for,0))))+SUMIFS($C$9:$AB$9,$C$2:$AB$2,"&lt;="&amp;Q2,$C$2:$AB$2,"&gt;="&amp;IF(P11=(0),Q2,IF(IF(Q2&gt;=gen_car_for,Q2-gen_car_for,0)&lt;P14,IF(ISNUMBER(P14),P14,0),IF(Q2&gt;=gen_car_for,Q2-gen_car_for,0))))</f>
        <v>35295.493594431726</v>
      </c>
      <c r="R10" s="8">
        <f t="shared" si="4"/>
        <v>37529.767325075256</v>
      </c>
      <c r="S10" s="8">
        <f t="shared" si="4"/>
        <v>40311.202619214746</v>
      </c>
      <c r="T10" s="8">
        <f t="shared" si="4"/>
        <v>43237.169362105953</v>
      </c>
      <c r="U10" s="8">
        <f t="shared" si="4"/>
        <v>46166.693545754504</v>
      </c>
      <c r="V10" s="8">
        <f t="shared" si="4"/>
        <v>49109.693986929255</v>
      </c>
      <c r="W10" s="8">
        <f t="shared" si="4"/>
        <v>52080.068564913148</v>
      </c>
      <c r="X10" s="8">
        <f t="shared" si="4"/>
        <v>11131.479084380366</v>
      </c>
      <c r="Y10" s="8">
        <f t="shared" si="4"/>
        <v>11378.162773689546</v>
      </c>
      <c r="Z10" s="8">
        <f t="shared" si="4"/>
        <v>11737.246454677716</v>
      </c>
      <c r="AA10" s="8">
        <f t="shared" si="4"/>
        <v>12338.00624439101</v>
      </c>
      <c r="AB10" s="8">
        <f t="shared" si="4"/>
        <v>13696.526891266778</v>
      </c>
    </row>
    <row r="11" spans="1:28" x14ac:dyDescent="0.25">
      <c r="A11" s="48" t="s">
        <v>254</v>
      </c>
      <c r="B11" s="49">
        <v>0</v>
      </c>
      <c r="C11" s="49">
        <f>IF(IF(C10&gt;0,IF(AND((C10-C7)&lt;0,C14&gt;0),(C10-C7),0),C10)=B10,0,IF(C10&gt;0,IF(AND((C10-C7)&lt;0,C14&gt;0),(C10-C7),0),C10))</f>
        <v>-14250</v>
      </c>
      <c r="D11" s="49">
        <f>IF(IF(D10&gt;0,IF(AND((D10-D7)&lt;0,D14&gt;0),(D10-D7),0),D10)=C10,0,IF(D10&gt;0,IF(AND((D10-D7)&lt;0,D14&gt;0),(D10-D7),0),D10))</f>
        <v>-8791.0291322313988</v>
      </c>
      <c r="E11" s="49">
        <f t="shared" ref="E11:R11" si="5">IF(IF(E10&gt;0,IF(AND((E10-E7)&lt;0,E14&gt;0),(E10-E7),0),E10)=D10,0,IF(E10&gt;0,IF(AND((E10-E7)&lt;0,E14&gt;0),(E10-E7),0),E10))</f>
        <v>-1384.5319078512312</v>
      </c>
      <c r="F11" s="49">
        <f t="shared" si="5"/>
        <v>0</v>
      </c>
      <c r="G11" s="49">
        <f t="shared" si="5"/>
        <v>0</v>
      </c>
      <c r="H11" s="49">
        <f t="shared" si="5"/>
        <v>0</v>
      </c>
      <c r="I11" s="49">
        <f>IF(IF(I10&gt;0,IF(AND((I10-I7)&lt;0,I14&gt;0),(I10-I7),0),I10)=H10,0,IF(I10&gt;0,IF(AND((I10-I7)&lt;0,I14&gt;0),(I10-I7),0),I10))</f>
        <v>0</v>
      </c>
      <c r="J11" s="49">
        <f>IF(IF(J10&gt;0,IF(AND((J10-J7)&lt;0,J14&gt;0),(J10-J7),0),J10)=I10,0,IF(J10&gt;0,IF(AND((J10-J7)&lt;0,J14&gt;0),(J10-J7),0),J10))</f>
        <v>0</v>
      </c>
      <c r="K11" s="49">
        <f>IF(IF(K10&gt;0,IF(AND((K10-K7)&lt;0,K14&gt;0),(K10-K7),0),K10)=J10,0,IF(K10&gt;0,IF(AND((K10-K7)&lt;0,K14&gt;0),(K10-K7),0),K10))</f>
        <v>0</v>
      </c>
      <c r="L11" s="49">
        <f>IF(IF(L10&gt;0,IF(AND((L10-L7)&lt;0,L14&gt;0),(L10-L7),0),L10)=K10,0,IF(L10&gt;0,IF(AND((L10-L7)&lt;0,L14&gt;0),(L10-L7),0),L10))</f>
        <v>0</v>
      </c>
      <c r="M11" s="49">
        <f t="shared" si="5"/>
        <v>0</v>
      </c>
      <c r="N11" s="49">
        <f t="shared" si="5"/>
        <v>0</v>
      </c>
      <c r="O11" s="49">
        <f t="shared" si="5"/>
        <v>0</v>
      </c>
      <c r="P11" s="49">
        <f t="shared" si="5"/>
        <v>0</v>
      </c>
      <c r="Q11" s="49">
        <f t="shared" si="5"/>
        <v>0</v>
      </c>
      <c r="R11" s="49">
        <f t="shared" si="5"/>
        <v>0</v>
      </c>
      <c r="S11" s="49">
        <f>IF(IF(S10&gt;0,IF(AND((S10-S7)&lt;0,S14&gt;0),(S10-S7),0),S10)=R10,0,IF(S10&gt;0,IF(AND((S10-S7)&lt;0,S14&gt;0),(S10-S7),0),S10))</f>
        <v>0</v>
      </c>
      <c r="T11" s="49">
        <f t="shared" ref="T11:AB11" si="6">IF(IF(T10&gt;0,IF(AND((T10-T7)&lt;0,T14&gt;0),(T10-T7),0),T10)=S10,0,IF(T10&gt;0,IF(AND((T10-T7)&lt;0,T14&gt;0),(T10-T7),0),T10))</f>
        <v>0</v>
      </c>
      <c r="U11" s="49">
        <f t="shared" si="6"/>
        <v>0</v>
      </c>
      <c r="V11" s="49">
        <f t="shared" si="6"/>
        <v>0</v>
      </c>
      <c r="W11" s="49">
        <f t="shared" si="6"/>
        <v>0</v>
      </c>
      <c r="X11" s="49">
        <f t="shared" si="6"/>
        <v>0</v>
      </c>
      <c r="Y11" s="49">
        <f t="shared" si="6"/>
        <v>0</v>
      </c>
      <c r="Z11" s="49">
        <f t="shared" si="6"/>
        <v>0</v>
      </c>
      <c r="AA11" s="49">
        <f t="shared" si="6"/>
        <v>0</v>
      </c>
      <c r="AB11" s="49">
        <f t="shared" si="6"/>
        <v>0</v>
      </c>
    </row>
    <row r="12" spans="1:28" x14ac:dyDescent="0.25">
      <c r="A12" s="4" t="s">
        <v>255</v>
      </c>
      <c r="B12" s="8"/>
      <c r="C12" s="8">
        <f>IF(C7&lt;0,0,IF(AND(B11&lt;0,C10&lt;C7),IF(ABS(B11)&gt;C7,0,C7-ABS(B11)),C7))</f>
        <v>0</v>
      </c>
      <c r="D12" s="8">
        <f t="shared" ref="D12:N12" si="7">IF(D7&lt;0,0,IF(AND(C11&lt;0,D10&lt;D7),IF(ABS(C11)&gt;D7,0,D7-ABS(C11)),D7))</f>
        <v>0</v>
      </c>
      <c r="E12" s="8">
        <f t="shared" si="7"/>
        <v>0</v>
      </c>
      <c r="F12" s="8">
        <f t="shared" si="7"/>
        <v>7908.7485364197964</v>
      </c>
      <c r="G12" s="8">
        <f t="shared" si="7"/>
        <v>11827.135036639282</v>
      </c>
      <c r="H12" s="8">
        <f>IF(H7&lt;0,0,IF(AND(G11&lt;0,H10&lt;H7),IF(ABS(G11)&gt;H7,0,H7-ABS(G11)),H7))</f>
        <v>14313.578757146588</v>
      </c>
      <c r="I12" s="8">
        <f t="shared" si="7"/>
        <v>16755.29995629019</v>
      </c>
      <c r="J12" s="8">
        <f t="shared" si="7"/>
        <v>19163.48185779537</v>
      </c>
      <c r="K12" s="8">
        <f t="shared" si="7"/>
        <v>21540.614220309955</v>
      </c>
      <c r="L12" s="8">
        <f t="shared" si="7"/>
        <v>23889.195999198215</v>
      </c>
      <c r="M12" s="8">
        <f t="shared" si="7"/>
        <v>26211.758151069036</v>
      </c>
      <c r="N12" s="8">
        <f t="shared" si="7"/>
        <v>28510.892977206364</v>
      </c>
      <c r="O12" s="8">
        <f>IF(O7&lt;0,0,IF(AND(N11&lt;0,O10&lt;O7),IF(ABS(N11)&gt;O7,0,O7-ABS(N11)),O7))</f>
        <v>30789.292860694382</v>
      </c>
      <c r="P12" s="8">
        <f>IF(P7&lt;0,0,IF(AND(O11&lt;0,P10&lt;P7),IF(ABS(O11)&gt;P7,0,P7-ABS(O11)),P7))</f>
        <v>33049.802786811197</v>
      </c>
      <c r="Q12" s="8">
        <f t="shared" ref="Q12:AB12" si="8">IF(Q7&lt;0,0,IF(AND(P11&lt;0,Q10&lt;Q7),IF(ABS(P11)&gt;Q7,0,Q7-ABS(P11)),Q7))</f>
        <v>35295.493594431726</v>
      </c>
      <c r="R12" s="8">
        <f t="shared" si="8"/>
        <v>37529.767325075256</v>
      </c>
      <c r="S12" s="8">
        <f t="shared" si="8"/>
        <v>40311.202619214746</v>
      </c>
      <c r="T12" s="8">
        <f t="shared" si="8"/>
        <v>43237.169362105953</v>
      </c>
      <c r="U12" s="8">
        <f>IF(U7&lt;0,0,IF(AND(T11&lt;0,U10&lt;U7),IF(ABS(T11)&gt;U7,0,U7-ABS(T11)),U7))</f>
        <v>46166.693545754504</v>
      </c>
      <c r="V12" s="8">
        <f t="shared" si="8"/>
        <v>49109.693986929255</v>
      </c>
      <c r="W12" s="8">
        <f t="shared" si="8"/>
        <v>52080.068564913148</v>
      </c>
      <c r="X12" s="8">
        <f t="shared" si="8"/>
        <v>11131.479084380366</v>
      </c>
      <c r="Y12" s="8">
        <f t="shared" si="8"/>
        <v>11378.162773689546</v>
      </c>
      <c r="Z12" s="8">
        <f t="shared" si="8"/>
        <v>11737.246454677716</v>
      </c>
      <c r="AA12" s="8">
        <f t="shared" si="8"/>
        <v>12338.00624439101</v>
      </c>
      <c r="AB12" s="8">
        <f t="shared" si="8"/>
        <v>13696.526891266778</v>
      </c>
    </row>
    <row r="13" spans="1:28" x14ac:dyDescent="0.25">
      <c r="A13" s="4"/>
      <c r="B13" s="4"/>
    </row>
    <row r="14" spans="1:28" x14ac:dyDescent="0.25">
      <c r="A14" s="4" t="s">
        <v>256</v>
      </c>
      <c r="B14" s="8"/>
      <c r="C14" s="10">
        <f>IF(B11=(0),C2,IF(IF(C2&gt;=gen_car_for,C2-gen_car_for,0)&lt;B14,IF(ISNUMBER(B14),B14,0),IF(C2&gt;=gen_car_for,C2-gen_car_for,0)))</f>
        <v>0</v>
      </c>
      <c r="D14" s="10">
        <f t="shared" ref="D14:AB14" si="9">IF(C11=(0),D2,IF(IF(D2&gt;=gen_car_for,D2-gen_car_for,0)&lt;C14,C14,IF(D2&gt;=gen_car_for,D2-gen_car_for,0)))</f>
        <v>0</v>
      </c>
      <c r="E14" s="10">
        <f t="shared" si="9"/>
        <v>0</v>
      </c>
      <c r="F14" s="10">
        <f t="shared" si="9"/>
        <v>0</v>
      </c>
      <c r="G14" s="10">
        <f t="shared" si="9"/>
        <v>4</v>
      </c>
      <c r="H14" s="10">
        <f t="shared" si="9"/>
        <v>5</v>
      </c>
      <c r="I14" s="10">
        <f t="shared" si="9"/>
        <v>6</v>
      </c>
      <c r="J14" s="10">
        <f t="shared" si="9"/>
        <v>7</v>
      </c>
      <c r="K14" s="10">
        <f t="shared" si="9"/>
        <v>8</v>
      </c>
      <c r="L14" s="10">
        <f t="shared" si="9"/>
        <v>9</v>
      </c>
      <c r="M14" s="10">
        <f t="shared" si="9"/>
        <v>10</v>
      </c>
      <c r="N14" s="10">
        <f t="shared" si="9"/>
        <v>11</v>
      </c>
      <c r="O14" s="10">
        <f t="shared" si="9"/>
        <v>12</v>
      </c>
      <c r="P14" s="10">
        <f t="shared" si="9"/>
        <v>13</v>
      </c>
      <c r="Q14" s="10">
        <f t="shared" si="9"/>
        <v>14</v>
      </c>
      <c r="R14" s="10">
        <f t="shared" si="9"/>
        <v>15</v>
      </c>
      <c r="S14" s="10">
        <f t="shared" si="9"/>
        <v>16</v>
      </c>
      <c r="T14" s="10">
        <f t="shared" si="9"/>
        <v>17</v>
      </c>
      <c r="U14" s="10">
        <f t="shared" si="9"/>
        <v>18</v>
      </c>
      <c r="V14" s="10">
        <f t="shared" si="9"/>
        <v>19</v>
      </c>
      <c r="W14" s="10">
        <f t="shared" si="9"/>
        <v>20</v>
      </c>
      <c r="X14" s="10">
        <f t="shared" si="9"/>
        <v>21</v>
      </c>
      <c r="Y14" s="10">
        <f t="shared" si="9"/>
        <v>22</v>
      </c>
      <c r="Z14" s="10">
        <f t="shared" si="9"/>
        <v>23</v>
      </c>
      <c r="AA14" s="10">
        <f t="shared" si="9"/>
        <v>24</v>
      </c>
      <c r="AB14" s="10">
        <f t="shared" si="9"/>
        <v>25</v>
      </c>
    </row>
    <row r="15" spans="1:28" x14ac:dyDescent="0.25">
      <c r="A15" s="4" t="s">
        <v>257</v>
      </c>
      <c r="B15" s="8"/>
      <c r="C15" s="10">
        <f t="shared" ref="C15:AB15" si="10">IF(C2&lt;gen_car_bck,$C$2,C2-gen_car_bck)</f>
        <v>0</v>
      </c>
      <c r="D15" s="10">
        <f t="shared" si="10"/>
        <v>0</v>
      </c>
      <c r="E15" s="10">
        <f>IF(E2&lt;gen_car_bck,$C$2,E2-gen_car_bck)</f>
        <v>1</v>
      </c>
      <c r="F15" s="10">
        <f t="shared" si="10"/>
        <v>2</v>
      </c>
      <c r="G15" s="10">
        <f t="shared" si="10"/>
        <v>3</v>
      </c>
      <c r="H15" s="10">
        <f t="shared" si="10"/>
        <v>4</v>
      </c>
      <c r="I15" s="10">
        <f t="shared" si="10"/>
        <v>5</v>
      </c>
      <c r="J15" s="10">
        <f t="shared" si="10"/>
        <v>6</v>
      </c>
      <c r="K15" s="10">
        <f t="shared" si="10"/>
        <v>7</v>
      </c>
      <c r="L15" s="10">
        <f t="shared" si="10"/>
        <v>8</v>
      </c>
      <c r="M15" s="10">
        <f t="shared" si="10"/>
        <v>9</v>
      </c>
      <c r="N15" s="10">
        <f t="shared" si="10"/>
        <v>10</v>
      </c>
      <c r="O15" s="10">
        <f t="shared" si="10"/>
        <v>11</v>
      </c>
      <c r="P15" s="10">
        <f t="shared" si="10"/>
        <v>12</v>
      </c>
      <c r="Q15" s="10">
        <f t="shared" si="10"/>
        <v>13</v>
      </c>
      <c r="R15" s="10">
        <f t="shared" si="10"/>
        <v>14</v>
      </c>
      <c r="S15" s="10">
        <f t="shared" si="10"/>
        <v>15</v>
      </c>
      <c r="T15" s="10">
        <f t="shared" si="10"/>
        <v>16</v>
      </c>
      <c r="U15" s="10">
        <f t="shared" si="10"/>
        <v>17</v>
      </c>
      <c r="V15" s="10">
        <f t="shared" si="10"/>
        <v>18</v>
      </c>
      <c r="W15" s="10">
        <f t="shared" si="10"/>
        <v>19</v>
      </c>
      <c r="X15" s="10">
        <f t="shared" si="10"/>
        <v>20</v>
      </c>
      <c r="Y15" s="10">
        <f t="shared" si="10"/>
        <v>21</v>
      </c>
      <c r="Z15" s="10">
        <f t="shared" si="10"/>
        <v>22</v>
      </c>
      <c r="AA15" s="10">
        <f t="shared" si="10"/>
        <v>23</v>
      </c>
      <c r="AB15" s="10">
        <f t="shared" si="10"/>
        <v>24</v>
      </c>
    </row>
    <row r="16" spans="1:28" x14ac:dyDescent="0.25">
      <c r="P16" s="47"/>
      <c r="T16" s="47"/>
    </row>
    <row r="17" spans="1:28" x14ac:dyDescent="0.25">
      <c r="A17" s="4" t="s">
        <v>279</v>
      </c>
      <c r="B17" s="49"/>
      <c r="C17" s="49">
        <f>C11</f>
        <v>-14250</v>
      </c>
      <c r="D17" s="49">
        <f>D11-C11</f>
        <v>5458.9708677686012</v>
      </c>
      <c r="E17" s="49">
        <f t="shared" ref="E17:AB17" si="11">E11-D11</f>
        <v>7406.4972243801676</v>
      </c>
      <c r="F17" s="49">
        <f t="shared" si="11"/>
        <v>1384.5319078512312</v>
      </c>
      <c r="G17" s="49">
        <f t="shared" si="11"/>
        <v>0</v>
      </c>
      <c r="H17" s="49">
        <f t="shared" si="11"/>
        <v>0</v>
      </c>
      <c r="I17" s="49">
        <f t="shared" si="11"/>
        <v>0</v>
      </c>
      <c r="J17" s="49">
        <f t="shared" si="11"/>
        <v>0</v>
      </c>
      <c r="K17" s="49">
        <f t="shared" si="11"/>
        <v>0</v>
      </c>
      <c r="L17" s="49">
        <f t="shared" si="11"/>
        <v>0</v>
      </c>
      <c r="M17" s="49">
        <f t="shared" si="11"/>
        <v>0</v>
      </c>
      <c r="N17" s="49">
        <f t="shared" si="11"/>
        <v>0</v>
      </c>
      <c r="O17" s="49">
        <f t="shared" si="11"/>
        <v>0</v>
      </c>
      <c r="P17" s="49">
        <f t="shared" si="11"/>
        <v>0</v>
      </c>
      <c r="Q17" s="49">
        <f t="shared" si="11"/>
        <v>0</v>
      </c>
      <c r="R17" s="49">
        <f t="shared" si="11"/>
        <v>0</v>
      </c>
      <c r="S17" s="49">
        <f t="shared" si="11"/>
        <v>0</v>
      </c>
      <c r="T17" s="49">
        <f t="shared" si="11"/>
        <v>0</v>
      </c>
      <c r="U17" s="49">
        <f t="shared" si="11"/>
        <v>0</v>
      </c>
      <c r="V17" s="49">
        <f t="shared" si="11"/>
        <v>0</v>
      </c>
      <c r="W17" s="49">
        <f t="shared" si="11"/>
        <v>0</v>
      </c>
      <c r="X17" s="49">
        <f t="shared" si="11"/>
        <v>0</v>
      </c>
      <c r="Y17" s="49">
        <f t="shared" si="11"/>
        <v>0</v>
      </c>
      <c r="Z17" s="49">
        <f t="shared" si="11"/>
        <v>0</v>
      </c>
      <c r="AA17" s="49">
        <f t="shared" si="11"/>
        <v>0</v>
      </c>
      <c r="AB17" s="49">
        <f t="shared" si="11"/>
        <v>0</v>
      </c>
    </row>
    <row r="18" spans="1:28" x14ac:dyDescent="0.25">
      <c r="O18" s="52"/>
    </row>
    <row r="22" spans="1:28" x14ac:dyDescent="0.25">
      <c r="O22" s="47"/>
    </row>
  </sheetData>
  <sheetProtection algorithmName="SHA-512" hashValue="IdB2GGNGyA3Oj0LYKMtjlF7fWIOXauslmLpLHlDwQmvz3Cg7N7FvL1nX7bz/McyI/GeL/f6zsU1hrSAazc36JQ==" saltValue="+OXrRteXkQ6KwUg9AawTV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91</vt:i4>
      </vt:variant>
    </vt:vector>
  </HeadingPairs>
  <TitlesOfParts>
    <vt:vector size="100" baseType="lpstr">
      <vt:lpstr>Toelichting</vt:lpstr>
      <vt:lpstr>Parameters</vt:lpstr>
      <vt:lpstr>Kasstromenoverzicht</vt:lpstr>
      <vt:lpstr>Balans</vt:lpstr>
      <vt:lpstr>Winst-en-verliesrekening</vt:lpstr>
      <vt:lpstr>Financiering</vt:lpstr>
      <vt:lpstr>Penetratiegraad</vt:lpstr>
      <vt:lpstr>Afschrijvingen</vt:lpstr>
      <vt:lpstr>Vennnootschapsbelasting</vt:lpstr>
      <vt:lpstr>anders_op_0</vt:lpstr>
      <vt:lpstr>anders_op_1</vt:lpstr>
      <vt:lpstr>anders_op_10</vt:lpstr>
      <vt:lpstr>anders_op_11</vt:lpstr>
      <vt:lpstr>anders_op_12</vt:lpstr>
      <vt:lpstr>anders_op_13</vt:lpstr>
      <vt:lpstr>anders_op_14</vt:lpstr>
      <vt:lpstr>anders_op_15</vt:lpstr>
      <vt:lpstr>anders_op_16</vt:lpstr>
      <vt:lpstr>anders_op_17</vt:lpstr>
      <vt:lpstr>anders_op_18</vt:lpstr>
      <vt:lpstr>anders_op_19</vt:lpstr>
      <vt:lpstr>anders_op_2</vt:lpstr>
      <vt:lpstr>anders_op_20</vt:lpstr>
      <vt:lpstr>anders_op_21</vt:lpstr>
      <vt:lpstr>anders_op_22</vt:lpstr>
      <vt:lpstr>anders_op_23</vt:lpstr>
      <vt:lpstr>anders_op_24</vt:lpstr>
      <vt:lpstr>anders_op_25</vt:lpstr>
      <vt:lpstr>anders_op_3</vt:lpstr>
      <vt:lpstr>anders_op_4</vt:lpstr>
      <vt:lpstr>anders_op_5</vt:lpstr>
      <vt:lpstr>anders_op_6</vt:lpstr>
      <vt:lpstr>anders_op_7</vt:lpstr>
      <vt:lpstr>anders_op_8</vt:lpstr>
      <vt:lpstr>anders_op_9</vt:lpstr>
      <vt:lpstr>eigen_vermogen</vt:lpstr>
      <vt:lpstr>fin_vv_aanvang_1</vt:lpstr>
      <vt:lpstr>fin_vv_aanvang_2</vt:lpstr>
      <vt:lpstr>fin_vv_aanvang_3</vt:lpstr>
      <vt:lpstr>fin_vv_aanvang_4</vt:lpstr>
      <vt:lpstr>fin_vv_aanvang_5</vt:lpstr>
      <vt:lpstr>fin_vv_aanvang_6</vt:lpstr>
      <vt:lpstr>fin_vv_aflossingsvrij_1</vt:lpstr>
      <vt:lpstr>fin_vv_aflossingsvrij_2</vt:lpstr>
      <vt:lpstr>fin_vv_aflossingsvrij_3</vt:lpstr>
      <vt:lpstr>fin_vv_aflossingsvrij_4</vt:lpstr>
      <vt:lpstr>fin_vv_omvang_1</vt:lpstr>
      <vt:lpstr>fin_vv_omvang_2</vt:lpstr>
      <vt:lpstr>fin_vv_omvang_3</vt:lpstr>
      <vt:lpstr>fin_vv_omvang_4</vt:lpstr>
      <vt:lpstr>fin_vv_omvang_5</vt:lpstr>
      <vt:lpstr>fin_vv_omvang_6</vt:lpstr>
      <vt:lpstr>fin_vv_rente_1</vt:lpstr>
      <vt:lpstr>fin_vv_rente_2</vt:lpstr>
      <vt:lpstr>fin_vv_rente_3</vt:lpstr>
      <vt:lpstr>fin_vv_rente_4</vt:lpstr>
      <vt:lpstr>fin_vv_rente_5</vt:lpstr>
      <vt:lpstr>fin_vv_rente_6</vt:lpstr>
      <vt:lpstr>fin_vv_termijn_1</vt:lpstr>
      <vt:lpstr>fin_vv_termijn_2</vt:lpstr>
      <vt:lpstr>fin_vv_termijn_3</vt:lpstr>
      <vt:lpstr>fin_vv_termijn_4</vt:lpstr>
      <vt:lpstr>fin_vv_termijn_5</vt:lpstr>
      <vt:lpstr>fin_vv_termijn_6</vt:lpstr>
      <vt:lpstr>gen_afs_termijn</vt:lpstr>
      <vt:lpstr>gen_btw</vt:lpstr>
      <vt:lpstr>gen_car_bck</vt:lpstr>
      <vt:lpstr>gen_car_for</vt:lpstr>
      <vt:lpstr>gen_deprente</vt:lpstr>
      <vt:lpstr>gen_uitsp_termijn</vt:lpstr>
      <vt:lpstr>gen_ven_bel_drempel</vt:lpstr>
      <vt:lpstr>gen_ven_bel_hoog</vt:lpstr>
      <vt:lpstr>gen_ven_bel_laag</vt:lpstr>
      <vt:lpstr>ink_na_duur</vt:lpstr>
      <vt:lpstr>ink_na_eenmalig</vt:lpstr>
      <vt:lpstr>ink_na_interesse_eenmalig</vt:lpstr>
      <vt:lpstr>ink_na_interesse_maand</vt:lpstr>
      <vt:lpstr>ink_na_maand</vt:lpstr>
      <vt:lpstr>ink_na_maand_index</vt:lpstr>
      <vt:lpstr>ink_passief</vt:lpstr>
      <vt:lpstr>ink_passief_index</vt:lpstr>
      <vt:lpstr>ink_start_duur</vt:lpstr>
      <vt:lpstr>ink_start_eenmalig</vt:lpstr>
      <vt:lpstr>ink_start_interesse_eenmalig</vt:lpstr>
      <vt:lpstr>ink_start_interesse_maand</vt:lpstr>
      <vt:lpstr>ink_start_maand</vt:lpstr>
      <vt:lpstr>ink_start_maand_index</vt:lpstr>
      <vt:lpstr>kost_laag1</vt:lpstr>
      <vt:lpstr>kost_laag1_index</vt:lpstr>
      <vt:lpstr>kost_netwerk</vt:lpstr>
      <vt:lpstr>kost_onv_sch</vt:lpstr>
      <vt:lpstr>kost_onv_sch_index</vt:lpstr>
      <vt:lpstr>kost_org</vt:lpstr>
      <vt:lpstr>kost_org_index</vt:lpstr>
      <vt:lpstr>kost_proces</vt:lpstr>
      <vt:lpstr>pen_aantal</vt:lpstr>
      <vt:lpstr>pen_aanvang</vt:lpstr>
      <vt:lpstr>pen_groei</vt:lpstr>
      <vt:lpstr>pen_max</vt:lpstr>
      <vt:lpstr>subsidie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 Brennenraedts</dc:creator>
  <cp:lastModifiedBy>Jasper Veldman</cp:lastModifiedBy>
  <cp:lastPrinted>2015-10-30T08:44:49Z</cp:lastPrinted>
  <dcterms:created xsi:type="dcterms:W3CDTF">2014-04-28T15:02:19Z</dcterms:created>
  <dcterms:modified xsi:type="dcterms:W3CDTF">2019-03-06T15:09:29Z</dcterms:modified>
</cp:coreProperties>
</file>